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7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5.xml" ContentType="application/vnd.openxmlformats-officedocument.spreadsheetml.comments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950" yWindow="5880" windowWidth="9420" windowHeight="9375" firstSheet="6" activeTab="11"/>
  </bookViews>
  <sheets>
    <sheet name="Energ85" sheetId="1" r:id="rId1"/>
    <sheet name="BEnerg85" sheetId="2" r:id="rId2"/>
    <sheet name="BEnerg85F" sheetId="3" r:id="rId3"/>
    <sheet name="Enint90" sheetId="4" r:id="rId4"/>
    <sheet name="Energber9095" sheetId="5" r:id="rId5"/>
    <sheet name="EnergNa90" sheetId="6" r:id="rId6"/>
    <sheet name="EnergNa95" sheetId="7" r:id="rId7"/>
    <sheet name="Struk95" sheetId="8" r:id="rId8"/>
    <sheet name="EnergPro90" sheetId="9" r:id="rId9"/>
    <sheet name="EnergPro95" sheetId="10" r:id="rId10"/>
    <sheet name="KOF90" sheetId="11" r:id="rId11"/>
    <sheet name="SWEP" sheetId="12" r:id="rId12"/>
    <sheet name="BiStrom" sheetId="13" r:id="rId13"/>
    <sheet name="EngadinerKW" sheetId="14" r:id="rId14"/>
    <sheet name="ErdölStrom" sheetId="15" r:id="rId15"/>
    <sheet name="BErdöl" sheetId="16" r:id="rId16"/>
    <sheet name="BErdStrom" sheetId="17" r:id="rId17"/>
  </sheets>
  <externalReferences>
    <externalReference r:id="rId20"/>
  </externalReferences>
  <definedNames>
    <definedName name="_xlnm.Print_Area" localSheetId="5">'EnergNa90'!$D$2:$AZ$58</definedName>
    <definedName name="_xlnm.Print_Area" localSheetId="6">'EnergNa95'!$D$2:$AZ$58</definedName>
    <definedName name="_xlnm.Print_Area">'ErdölStrom'!$B$255</definedName>
    <definedName name="_xlnm.Print_Titles" localSheetId="5">'EnergNa90'!$A:$C</definedName>
    <definedName name="_xlnm.Print_Titles" localSheetId="6">'EnergNa95'!$A:$C</definedName>
    <definedName name="_xlnm.Print_Titles" localSheetId="8">'EnergPro90'!$A:$D</definedName>
    <definedName name="_xlnm.Print_Titles" localSheetId="9">'EnergPro95'!$A:$D</definedName>
    <definedName name="TABLE" localSheetId="14">'ErdölStrom'!#REF!</definedName>
    <definedName name="TABLE" localSheetId="11">'SWEP'!$A$805:$E$966</definedName>
    <definedName name="TABLE_10" localSheetId="11">'SWEP'!$A$967:$F$1015</definedName>
    <definedName name="TABLE_11" localSheetId="11">'SWEP'!$F$1017:$G$1018</definedName>
    <definedName name="TABLE_12" localSheetId="11">'SWEP'!$F$1017:$I$1019</definedName>
    <definedName name="TABLE_13" localSheetId="11">'SWEP'!$F$1017:$I$1019</definedName>
    <definedName name="TABLE_14" localSheetId="11">'SWEP'!$F$1017:$I$1018</definedName>
    <definedName name="TABLE_15" localSheetId="11">'SWEP'!$F$1017:$I$1019</definedName>
    <definedName name="TABLE_16" localSheetId="11">'SWEP'!$F$1017:$K$1019</definedName>
    <definedName name="TABLE_17" localSheetId="11">'SWEP'!$F$1017:$K$1019</definedName>
    <definedName name="TABLE_18" localSheetId="11">'SWEP'!$F$1017:$K$1019</definedName>
    <definedName name="TABLE_19" localSheetId="11">'SWEP'!$F$1017:$K$1019</definedName>
    <definedName name="TABLE_2" localSheetId="11">'SWEP'!$A$805:$D$966</definedName>
    <definedName name="TABLE_3" localSheetId="11">'SWEP'!$A$805:$F$966</definedName>
    <definedName name="TABLE_4" localSheetId="11">'SWEP'!$A$805:$F$966</definedName>
    <definedName name="TABLE_5" localSheetId="11">'SWEP'!$A$805:$F$966</definedName>
    <definedName name="TABLE_6" localSheetId="11">'SWEP'!$A$805:$F$966</definedName>
    <definedName name="TABLE_7" localSheetId="11">'SWEP'!$A$967:$E$1014</definedName>
    <definedName name="TABLE_8" localSheetId="11">'SWEP'!$A$967:$D$1014</definedName>
    <definedName name="TABLE_9" localSheetId="11">'SWEP'!$A$967:$F$1015</definedName>
  </definedNames>
  <calcPr fullCalcOnLoad="1"/>
</workbook>
</file>

<file path=xl/comments15.xml><?xml version="1.0" encoding="utf-8"?>
<comments xmlns="http://schemas.openxmlformats.org/spreadsheetml/2006/main">
  <authors>
    <author>x057</author>
  </authors>
  <commentList>
    <comment ref="C386" authorId="0">
      <text>
        <r>
          <rPr>
            <b/>
            <sz val="10"/>
            <rFont val="Tahoma"/>
            <family val="0"/>
          </rPr>
          <t>x057:</t>
        </r>
        <r>
          <rPr>
            <sz val="10"/>
            <rFont val="Tahoma"/>
            <family val="0"/>
          </rPr>
          <t xml:space="preserve">
provisorisch</t>
        </r>
      </text>
    </comment>
    <comment ref="M386" authorId="0">
      <text>
        <r>
          <rPr>
            <b/>
            <sz val="10"/>
            <rFont val="Tahoma"/>
            <family val="0"/>
          </rPr>
          <t>x057:</t>
        </r>
        <r>
          <rPr>
            <sz val="10"/>
            <rFont val="Tahoma"/>
            <family val="0"/>
          </rPr>
          <t xml:space="preserve">
provisorisch</t>
        </r>
      </text>
    </comment>
  </commentList>
</comments>
</file>

<file path=xl/comments6.xml><?xml version="1.0" encoding="utf-8"?>
<comments xmlns="http://schemas.openxmlformats.org/spreadsheetml/2006/main">
  <authors>
    <author>Ein gesch?tzter Microsoft Office Anwender</author>
  </authors>
  <commentList>
    <comment ref="AI7" authorId="0">
      <text>
        <r>
          <rPr>
            <sz val="8"/>
            <rFont val="Tahoma"/>
            <family val="0"/>
          </rPr>
          <t>Nach Abzug unterstellter Bruttoproduktionswert der Banken</t>
        </r>
      </text>
    </comment>
    <comment ref="AK7" authorId="0">
      <text>
        <r>
          <rPr>
            <sz val="8"/>
            <rFont val="Tahoma"/>
            <family val="0"/>
          </rPr>
          <t>Wegen Vermietung durch Haushalte wurde nur 1/4 der Wertschöpfung berücksichtigt</t>
        </r>
      </text>
    </comment>
    <comment ref="AS7" authorId="0">
      <text>
        <r>
          <rPr>
            <sz val="8"/>
            <rFont val="Tahoma"/>
            <family val="0"/>
          </rPr>
          <t>Differenz wegen unterschiedlicher Berücksichtigung der anfallenden WS in einzelnen Branchen, Wichtigste Abweichung: Bankenproduktion</t>
        </r>
      </text>
    </comment>
    <comment ref="E12" authorId="0">
      <text>
        <r>
          <rPr>
            <sz val="8"/>
            <rFont val="Tahoma"/>
            <family val="0"/>
          </rPr>
          <t>Eigenverbrauch gemäss Energiebilanz 1990. Quelle: Gesamtenergiestatistik 1990, S. 7, sowie 81% der Stromimporte</t>
        </r>
      </text>
    </comment>
    <comment ref="AM12" authorId="0">
      <text>
        <r>
          <rPr>
            <sz val="8"/>
            <rFont val="Tahoma"/>
            <family val="0"/>
          </rPr>
          <t>zUSCHLAG kULTUR Sport</t>
        </r>
      </text>
    </comment>
    <comment ref="AP12" authorId="0">
      <text>
        <r>
          <rPr>
            <sz val="8"/>
            <rFont val="Tahoma"/>
            <family val="0"/>
          </rPr>
          <t>Aggregat aus PTT, Immob. Beratung, Leasing/Ber., Staat + Sozialvers. Separater Abzug von 100 TJ Strassenverkehr sowie 200 TJ Luftfahrt für Stromverbrauch</t>
        </r>
      </text>
    </comment>
    <comment ref="AL13" authorId="0">
      <text>
        <r>
          <rPr>
            <sz val="8"/>
            <rFont val="Tahoma"/>
            <family val="0"/>
          </rPr>
          <t>1000 kLÄRANLAGEN
500 wÄSCHEREI</t>
        </r>
      </text>
    </comment>
    <comment ref="G16" authorId="0">
      <text>
        <r>
          <rPr>
            <sz val="8"/>
            <rFont val="Tahoma"/>
            <family val="0"/>
          </rPr>
          <t>Leitungsverluste 10% des Gesamtverbrauchs</t>
        </r>
      </text>
    </comment>
    <comment ref="AU16" authorId="0">
      <text>
        <r>
          <rPr>
            <sz val="8"/>
            <rFont val="Tahoma"/>
            <family val="0"/>
          </rPr>
          <t>Anzahl Haushalte und Wasserverbrauch gemäss Stat. Jahrbuch 1994 bzw. 1991. Pro Haushalt werden 2.4 Personen gerechnet.</t>
        </r>
      </text>
    </comment>
    <comment ref="AF20" authorId="0">
      <text>
        <r>
          <rPr>
            <sz val="8"/>
            <rFont val="Tahoma"/>
            <family val="0"/>
          </rPr>
          <t>Verbrauch Strassenverkehr funktional, davon 5% als Eigenverflechtung, siehe Tabelle 8 VERKEHR90.XLS, Strassentransportgewerbe abz. OeV Strasse</t>
        </r>
      </text>
    </comment>
    <comment ref="AF26" authorId="0">
      <text>
        <r>
          <rPr>
            <sz val="8"/>
            <rFont val="Tahoma"/>
            <family val="0"/>
          </rPr>
          <t>Verbrauch Strassenverkehr funktional, davon 5% als Eigenverflechtung, siehe Tabelle 8 VERKEHR90.XLS, Strassentransportgewerbe abz. OeV Strasse</t>
        </r>
      </text>
    </comment>
    <comment ref="D37" authorId="0">
      <text>
        <r>
          <rPr>
            <sz val="8"/>
            <rFont val="Tahoma"/>
            <family val="0"/>
          </rPr>
          <t>Rückerstattung Landwirtschaft berücksichtigt gemäss Ecoplan</t>
        </r>
      </text>
    </comment>
    <comment ref="F42" authorId="0">
      <text>
        <r>
          <rPr>
            <sz val="8"/>
            <rFont val="Tahoma"/>
            <family val="0"/>
          </rPr>
          <t xml:space="preserve">inkl.  1/3 der Importe als Eigenverflechtung
</t>
        </r>
      </text>
    </comment>
    <comment ref="AX58" authorId="0">
      <text>
        <r>
          <rPr>
            <sz val="8"/>
            <rFont val="Tahoma"/>
            <family val="0"/>
          </rPr>
          <t>Differenz entsteht wegen der Veränderung des Eigenverflechtungsniveaus</t>
        </r>
      </text>
    </comment>
  </commentList>
</comments>
</file>

<file path=xl/comments7.xml><?xml version="1.0" encoding="utf-8"?>
<comments xmlns="http://schemas.openxmlformats.org/spreadsheetml/2006/main">
  <authors>
    <author>Ein gesch?tzter Microsoft Office Anwender</author>
  </authors>
  <commentList>
    <comment ref="AI7" authorId="0">
      <text>
        <r>
          <rPr>
            <sz val="8"/>
            <rFont val="Tahoma"/>
            <family val="0"/>
          </rPr>
          <t>Nach Abzug unterstellter Bruttoproduktionswert der Banken</t>
        </r>
      </text>
    </comment>
    <comment ref="AK7" authorId="0">
      <text>
        <r>
          <rPr>
            <sz val="8"/>
            <rFont val="Tahoma"/>
            <family val="0"/>
          </rPr>
          <t>Wegen Vermietung durch Haushalte wurde nur 1/4 der Wertschöpfung berücksichtigt</t>
        </r>
      </text>
    </comment>
    <comment ref="AS7" authorId="0">
      <text>
        <r>
          <rPr>
            <sz val="8"/>
            <rFont val="Tahoma"/>
            <family val="0"/>
          </rPr>
          <t>Differenz wegen unterschiedlicher Berücksichtigung der anfallenden WS in einzelnen Branchen, namentlcih Bankenproduktion</t>
        </r>
      </text>
    </comment>
    <comment ref="E12" authorId="0">
      <text>
        <r>
          <rPr>
            <sz val="8"/>
            <rFont val="Tahoma"/>
            <family val="0"/>
          </rPr>
          <t>Eigenverbrauch gemäss Energiebilanz 1995. Quelle: Gesamtenergiestatistik 1995, S. 7, sowie 100% der Stromimporte</t>
        </r>
      </text>
    </comment>
    <comment ref="AL13" authorId="0">
      <text>
        <r>
          <rPr>
            <sz val="8"/>
            <rFont val="Tahoma"/>
            <family val="0"/>
          </rPr>
          <t>1000 kLÄRANLAGEN
500 wÄSCHEREI</t>
        </r>
      </text>
    </comment>
    <comment ref="G16" authorId="0">
      <text>
        <r>
          <rPr>
            <sz val="8"/>
            <rFont val="Tahoma"/>
            <family val="0"/>
          </rPr>
          <t>Leitungsverluste 10% des Gesamtverbrauchs</t>
        </r>
      </text>
    </comment>
    <comment ref="AU16" authorId="0">
      <text>
        <r>
          <rPr>
            <sz val="8"/>
            <rFont val="Tahoma"/>
            <family val="0"/>
          </rPr>
          <t>Anzahl Haushalte und Wasserverbrauch gemäss Stat. Jahrbuch 1994 bzw. 1991. Pro Haushalt werden 2.3 Personen gerechnet.</t>
        </r>
      </text>
    </comment>
    <comment ref="H17" authorId="0">
      <text>
        <r>
          <rPr>
            <sz val="8"/>
            <rFont val="Tahoma"/>
            <family val="0"/>
          </rPr>
          <t>Entspricht dem Rohölverbrauch der Raffinerien.</t>
        </r>
      </text>
    </comment>
    <comment ref="AF26" authorId="0">
      <text>
        <r>
          <rPr>
            <sz val="8"/>
            <rFont val="Tahoma"/>
            <family val="0"/>
          </rPr>
          <t>Verbrauch Strassenverkehr funktional, davon 5% als Eigenverflechtung, siehe Tabelle 8 VERKEHR90.XLS, Strassentransportgewerbe abz. OeV Strasse</t>
        </r>
      </text>
    </comment>
    <comment ref="D37" authorId="0">
      <text>
        <r>
          <rPr>
            <sz val="8"/>
            <rFont val="Tahoma"/>
            <family val="0"/>
          </rPr>
          <t>Rückerstattung Landwirtschaft berücksichtigt gemäss Ecoplan</t>
        </r>
      </text>
    </comment>
    <comment ref="F42" authorId="0">
      <text>
        <r>
          <rPr>
            <sz val="8"/>
            <rFont val="Tahoma"/>
            <family val="0"/>
          </rPr>
          <t xml:space="preserve">inkl.  1/3 der Importe als Eigenverflechtung
</t>
        </r>
      </text>
    </comment>
    <comment ref="AX58" authorId="0">
      <text>
        <r>
          <rPr>
            <sz val="8"/>
            <rFont val="Tahoma"/>
            <family val="0"/>
          </rPr>
          <t>Differenz entsteht wegen der Veränderung des Eigenverflechtungsniveaus</t>
        </r>
      </text>
    </comment>
  </commentList>
</comments>
</file>

<file path=xl/sharedStrings.xml><?xml version="1.0" encoding="utf-8"?>
<sst xmlns="http://schemas.openxmlformats.org/spreadsheetml/2006/main" count="1475" uniqueCount="984">
  <si>
    <t>Verflechtung 1985</t>
  </si>
  <si>
    <t>Branchen</t>
  </si>
  <si>
    <t xml:space="preserve"> 1 PrimSekt</t>
  </si>
  <si>
    <t xml:space="preserve"> 2 Elektrizit</t>
  </si>
  <si>
    <t xml:space="preserve"> 3 Gas</t>
  </si>
  <si>
    <t xml:space="preserve"> 4 Wasser</t>
  </si>
  <si>
    <t xml:space="preserve"> 5 Oel</t>
  </si>
  <si>
    <t xml:space="preserve"> 6 Nahrmit</t>
  </si>
  <si>
    <t xml:space="preserve"> 7 Getränk</t>
  </si>
  <si>
    <t xml:space="preserve"> 8 Tabak</t>
  </si>
  <si>
    <t xml:space="preserve"> 9 Textil</t>
  </si>
  <si>
    <t>10 Bekl</t>
  </si>
  <si>
    <t>11 Holzb</t>
  </si>
  <si>
    <t>12 AnHolz</t>
  </si>
  <si>
    <t>13 Papier</t>
  </si>
  <si>
    <t>14 GraphG</t>
  </si>
  <si>
    <t>15 LederS</t>
  </si>
  <si>
    <t>16 Chemie</t>
  </si>
  <si>
    <t>17 KunstK</t>
  </si>
  <si>
    <t>18 SteineEB</t>
  </si>
  <si>
    <t>19 NE-Met</t>
  </si>
  <si>
    <t>20 Eisenm</t>
  </si>
  <si>
    <t>21 MaschF</t>
  </si>
  <si>
    <t>22 ElektrUO</t>
  </si>
  <si>
    <t>23 Sonst Ind</t>
  </si>
  <si>
    <t>24 BauhptG</t>
  </si>
  <si>
    <t>25 Ausbaug</t>
  </si>
  <si>
    <t>26 Grossha</t>
  </si>
  <si>
    <t>27 Detailha</t>
  </si>
  <si>
    <t>28 Gastgew</t>
  </si>
  <si>
    <t>29 BahnSch</t>
  </si>
  <si>
    <t>30 OevAgg</t>
  </si>
  <si>
    <t>31 Strasstr</t>
  </si>
  <si>
    <t>32 LuftRohr</t>
  </si>
  <si>
    <t>33 PTTNa</t>
  </si>
  <si>
    <t>34 Banken</t>
  </si>
  <si>
    <t>35 Versich</t>
  </si>
  <si>
    <t>36 Immob</t>
  </si>
  <si>
    <t>37 LeasBer</t>
  </si>
  <si>
    <t>38 UnterWi</t>
  </si>
  <si>
    <t>39 Gesund</t>
  </si>
  <si>
    <t>40 NmDien</t>
  </si>
  <si>
    <t>41 Staat</t>
  </si>
  <si>
    <t>42 Sozver</t>
  </si>
  <si>
    <t>Total</t>
  </si>
  <si>
    <t xml:space="preserve">Elektrizität      </t>
  </si>
  <si>
    <t xml:space="preserve">Gas      </t>
  </si>
  <si>
    <t xml:space="preserve">Mineralöl     </t>
  </si>
  <si>
    <t>Electricité</t>
  </si>
  <si>
    <t>Gaz</t>
  </si>
  <si>
    <t>Pétrole</t>
  </si>
  <si>
    <t xml:space="preserve">STRUKTURDATEN ZUR ENERGIEABHÄNGIGKEIT </t>
  </si>
  <si>
    <t>Angaben für 1990</t>
  </si>
  <si>
    <t>Land</t>
  </si>
  <si>
    <t>Primärenergieverbrauch</t>
  </si>
  <si>
    <t>BIP/BSP in Mrd US $</t>
  </si>
  <si>
    <t>Primärenergieintensität</t>
  </si>
  <si>
    <t>Index</t>
  </si>
  <si>
    <t>Energiekosten in %</t>
  </si>
  <si>
    <t>in Mio Tonnen Ölenergieäquivalent</t>
  </si>
  <si>
    <t>in Mrd US $</t>
  </si>
  <si>
    <t>Schweiz =100%</t>
  </si>
  <si>
    <t>vom BIP/BSP, Annahme</t>
  </si>
  <si>
    <t xml:space="preserve"> 3 = 1 : 2</t>
  </si>
  <si>
    <t>3 in Indexform</t>
  </si>
  <si>
    <t>Preis TOE konstant</t>
  </si>
  <si>
    <t>USA</t>
  </si>
  <si>
    <t>Japan</t>
  </si>
  <si>
    <t>BRD West</t>
  </si>
  <si>
    <t>Frankreich</t>
  </si>
  <si>
    <t>Italien</t>
  </si>
  <si>
    <t>Grossbritannien</t>
  </si>
  <si>
    <t>Schweiz</t>
  </si>
  <si>
    <t>(1) BP Statistical Review of World Energy, 1990, S. 34</t>
  </si>
  <si>
    <t>(2) OECD Main Economic Indicators, Januar 1992</t>
  </si>
  <si>
    <t>(3) und (4) eigene Berechnung</t>
  </si>
  <si>
    <r>
      <t xml:space="preserve">Kennzahlen </t>
    </r>
    <r>
      <rPr>
        <b/>
        <sz val="10"/>
        <rFont val="Helv"/>
        <family val="0"/>
      </rPr>
      <t>1990</t>
    </r>
  </si>
  <si>
    <r>
      <t xml:space="preserve">Kennzahlen </t>
    </r>
    <r>
      <rPr>
        <b/>
        <sz val="10"/>
        <rFont val="Helv"/>
        <family val="0"/>
      </rPr>
      <t>1995</t>
    </r>
  </si>
  <si>
    <t>Elektrizität</t>
  </si>
  <si>
    <t>Gas</t>
  </si>
  <si>
    <t>Wasser</t>
  </si>
  <si>
    <t>Fernwärme</t>
  </si>
  <si>
    <t>Ausfuhr Mio Fr.</t>
  </si>
  <si>
    <t>Ausfuhr TJ</t>
  </si>
  <si>
    <t>Ausfuhr MWh</t>
  </si>
  <si>
    <t>Fr. pro kWh</t>
  </si>
  <si>
    <t>Fr. pro TJ</t>
  </si>
  <si>
    <t>Einfuhr Mio Fr.</t>
  </si>
  <si>
    <t>Einfuhr TJ</t>
  </si>
  <si>
    <t>Einfuhr MWh</t>
  </si>
  <si>
    <t>Industrie TJ</t>
  </si>
  <si>
    <t>Dienstleistungen TJ</t>
  </si>
  <si>
    <t>Verkehr  TJ</t>
  </si>
  <si>
    <t>Haushalte TJ</t>
  </si>
  <si>
    <t>Haushalte kWh</t>
  </si>
  <si>
    <t>Haushalte GWh</t>
  </si>
  <si>
    <t>Haushalte Mio CHF</t>
  </si>
  <si>
    <t>Endverbrauch Mio CHF</t>
  </si>
  <si>
    <t>Durchschn Konsumentenpreis</t>
  </si>
  <si>
    <t>Fr./kWh</t>
  </si>
  <si>
    <t>Modellierung</t>
  </si>
  <si>
    <t>Strom Gas Wasser, Erdöl</t>
  </si>
  <si>
    <t>Prim Sektor</t>
  </si>
  <si>
    <t>Mineralöl</t>
  </si>
  <si>
    <t>Nahrungsmittel</t>
  </si>
  <si>
    <t>Getränke</t>
  </si>
  <si>
    <t>Tabak</t>
  </si>
  <si>
    <t>Textilien</t>
  </si>
  <si>
    <t>Bekleidung</t>
  </si>
  <si>
    <t>Holzbearbeit</t>
  </si>
  <si>
    <t>And Holzprod</t>
  </si>
  <si>
    <t>Papier</t>
  </si>
  <si>
    <t>Graph Erzeugn</t>
  </si>
  <si>
    <t>Lederw Schuhe</t>
  </si>
  <si>
    <t>Chemie</t>
  </si>
  <si>
    <t>Kunst Kautsch</t>
  </si>
  <si>
    <t>Stein Erd Bergb</t>
  </si>
  <si>
    <t>Metalle</t>
  </si>
  <si>
    <t>Masch Fahrz</t>
  </si>
  <si>
    <t>Elektr Uhr sonst</t>
  </si>
  <si>
    <t>Bauhauptgew</t>
  </si>
  <si>
    <t>Ausbaugew</t>
  </si>
  <si>
    <t>Grosshandel</t>
  </si>
  <si>
    <t>Detailhandel</t>
  </si>
  <si>
    <t>Gastgewerbe</t>
  </si>
  <si>
    <t>Bahnen Schiffe</t>
  </si>
  <si>
    <t>OeV Agglomer</t>
  </si>
  <si>
    <t>Strassenverk</t>
  </si>
  <si>
    <t>Luftfahrt Rohrl</t>
  </si>
  <si>
    <t>PTT Nachricht</t>
  </si>
  <si>
    <t>Banken</t>
  </si>
  <si>
    <t>Versicherung</t>
  </si>
  <si>
    <t>Immobilien</t>
  </si>
  <si>
    <t>Leas Ber Verv</t>
  </si>
  <si>
    <t>Unterr Wissen</t>
  </si>
  <si>
    <t>Gesundheitsw</t>
  </si>
  <si>
    <t>Nm Dienstleist</t>
  </si>
  <si>
    <t>Staat</t>
  </si>
  <si>
    <t>Sozialvers</t>
  </si>
  <si>
    <t xml:space="preserve"> ---</t>
  </si>
  <si>
    <t>Unbekannt</t>
  </si>
  <si>
    <t>VL-L Total</t>
  </si>
  <si>
    <t>Haushalte</t>
  </si>
  <si>
    <t>Lagerveränd.</t>
  </si>
  <si>
    <t>Export</t>
  </si>
  <si>
    <t>Total ohne</t>
  </si>
  <si>
    <t>Gesamtaufk</t>
  </si>
  <si>
    <t>Import</t>
  </si>
  <si>
    <t>Quellen</t>
  </si>
  <si>
    <t>Stat. Diff.</t>
  </si>
  <si>
    <t>Export, Eigverb</t>
  </si>
  <si>
    <t>und Kontrollen</t>
  </si>
  <si>
    <t>Nachfrage</t>
  </si>
  <si>
    <t>Anzahl</t>
  </si>
  <si>
    <t>Arbeitskräfte</t>
  </si>
  <si>
    <t>Mio Fr.</t>
  </si>
  <si>
    <t>Wertschöpfung</t>
  </si>
  <si>
    <t>Bruttoproduktion</t>
  </si>
  <si>
    <t>Strassen Werkv</t>
  </si>
  <si>
    <t>Strassen Total</t>
  </si>
  <si>
    <t>TJ</t>
  </si>
  <si>
    <t>Endverbr. GWh</t>
  </si>
  <si>
    <t>TJ vert.</t>
  </si>
  <si>
    <t>entspr. Elektrizitätsst.</t>
  </si>
  <si>
    <t>entspricht Energiestat</t>
  </si>
  <si>
    <t>Mio m3</t>
  </si>
  <si>
    <t>Eig. Hochr. mit Fragez.</t>
  </si>
  <si>
    <t>Erdölvereinigung, Geschäftsber. 90</t>
  </si>
  <si>
    <t>Brennstoffe</t>
  </si>
  <si>
    <t>Ecoplan/Energiest</t>
  </si>
  <si>
    <t>Benzin</t>
  </si>
  <si>
    <t>Ecoplan, Total Energiest.</t>
  </si>
  <si>
    <t>Diesel Fremdauf</t>
  </si>
  <si>
    <t>Ecoplan; Industrie gemäss eig. Ausw.BFS Erhebung Strassenverkehr, Total Energiestatistik</t>
  </si>
  <si>
    <t>Kerosin</t>
  </si>
  <si>
    <t>Diesel inkl. Werkverkehr</t>
  </si>
  <si>
    <t>Fr./TJ</t>
  </si>
  <si>
    <t>Fr./m3</t>
  </si>
  <si>
    <t>Diesel</t>
  </si>
  <si>
    <t>Mio Fr</t>
  </si>
  <si>
    <t>Mineralöl Fremd</t>
  </si>
  <si>
    <t>Ecoplan, Verkehr KOF</t>
  </si>
  <si>
    <t>Mineralöl inkl. Werkverkehr</t>
  </si>
  <si>
    <t xml:space="preserve"> 2-4</t>
  </si>
  <si>
    <t>Elek Gas Wasser</t>
  </si>
  <si>
    <t>LEA</t>
  </si>
  <si>
    <t>Differenz zu KOF</t>
  </si>
  <si>
    <t>andere</t>
  </si>
  <si>
    <t>Korrekturfaktor</t>
  </si>
  <si>
    <t>Soll</t>
  </si>
  <si>
    <t>EndvGWh</t>
  </si>
  <si>
    <t>Erdölvereinigung, Geschäftsber. 95</t>
  </si>
  <si>
    <t>Gesamtenergiest 95</t>
  </si>
  <si>
    <t>Stromgrosshandel</t>
  </si>
  <si>
    <t>Pkto</t>
  </si>
  <si>
    <t>Differenz zu Pkto</t>
  </si>
  <si>
    <t>Mineralöl Strv Fremdauftr</t>
  </si>
  <si>
    <t>Produktionsfunktion</t>
  </si>
  <si>
    <t>Koeffizienten 1985</t>
  </si>
  <si>
    <t>Produktionswerte 90</t>
  </si>
  <si>
    <t>Synthetisierung VL-Bezüge 90 mit Koeffizienten 85, 1. Versuch</t>
  </si>
  <si>
    <t>Synthetisierung VL-Bezüge 90 mit Koeffizienten 85, 2. Versuch</t>
  </si>
  <si>
    <t>Synthetisierung VL-Bezüge und Wertschöpfung 90 mit Einzeleingriffen</t>
  </si>
  <si>
    <t>Synthetisierung VL-Bezüge und Wertschöpfung 90, Koeffizienten</t>
  </si>
  <si>
    <t>Strom, Gas, Wasser</t>
  </si>
  <si>
    <t>Manuelle</t>
  </si>
  <si>
    <t>Systematik 1990</t>
  </si>
  <si>
    <t>KOF</t>
  </si>
  <si>
    <t>Diiff zu KOF</t>
  </si>
  <si>
    <t>Korrekturen</t>
  </si>
  <si>
    <t xml:space="preserve">                  Total ohne</t>
  </si>
  <si>
    <t>belassen</t>
  </si>
  <si>
    <t>fix</t>
  </si>
  <si>
    <t>Eigver+Exp</t>
  </si>
  <si>
    <t>wegen Liefer-</t>
  </si>
  <si>
    <t>gleichgewicht</t>
  </si>
  <si>
    <t>Umsatz</t>
  </si>
  <si>
    <t>anpassen</t>
  </si>
  <si>
    <t>Kürzung Doppelzählung</t>
  </si>
  <si>
    <t>Umsätze justiert</t>
  </si>
  <si>
    <t>Endnachfrage Inland</t>
  </si>
  <si>
    <t>justiert</t>
  </si>
  <si>
    <t>Wa nach oben</t>
  </si>
  <si>
    <t>Nichteisenmetalle</t>
  </si>
  <si>
    <t>Eisen-Metalle</t>
  </si>
  <si>
    <t>nach oben</t>
  </si>
  <si>
    <t>Elektronik, Uhren, Optik</t>
  </si>
  <si>
    <t>Sonstige Industrien</t>
  </si>
  <si>
    <t>VL-Bezüge Total</t>
  </si>
  <si>
    <t>Eigenverfl ElGaWa</t>
  </si>
  <si>
    <t>Löhne+Sozialbeiträge</t>
  </si>
  <si>
    <t>nach unten</t>
  </si>
  <si>
    <t>Abschr. + Kapitalkosten</t>
  </si>
  <si>
    <t>Ind. Steuern - Subv.</t>
  </si>
  <si>
    <t>Unternehmensergebnis</t>
  </si>
  <si>
    <t>WS Eigenauftr. Strverk.</t>
  </si>
  <si>
    <t>Primäre Inputs</t>
  </si>
  <si>
    <t>Total Produktionswert</t>
  </si>
  <si>
    <t>ohne Eigverflecht ElGaWa ex ante</t>
  </si>
  <si>
    <t>Soll Produktionswert</t>
  </si>
  <si>
    <t>ohne Eigverflechtung ElGaWa</t>
  </si>
  <si>
    <t>Koeffizienten 1990</t>
  </si>
  <si>
    <t>Produktionswerte 95</t>
  </si>
  <si>
    <t>Synthetisierung VL-Bezüge 95 mit Koeffizienten 90, 1. Versuch</t>
  </si>
  <si>
    <t>Synthetisierung VL-Bezüge 95 mit Koeffizienten 90, 2. Versuch</t>
  </si>
  <si>
    <t>KOF-Hochr</t>
  </si>
  <si>
    <t>Differenz</t>
  </si>
  <si>
    <t>MWST</t>
  </si>
  <si>
    <t>Branche KOF 90</t>
  </si>
  <si>
    <t>Systematik KOF 90</t>
  </si>
  <si>
    <t>Nr.</t>
  </si>
  <si>
    <t>Bezeichnung</t>
  </si>
  <si>
    <t>Position BFS 85</t>
  </si>
  <si>
    <t>Prim. Sektor</t>
  </si>
  <si>
    <t>01, 02, 03, 04</t>
  </si>
  <si>
    <t>11 teilweise (111)(114,115) teilweise</t>
  </si>
  <si>
    <t>11 teilweise (112) 114 teilweise</t>
  </si>
  <si>
    <t>11 teilweise (113) 114 teilweise</t>
  </si>
  <si>
    <t>24 ohne 2414</t>
  </si>
  <si>
    <t>25, 5815, 5816</t>
  </si>
  <si>
    <t>Holzbearbeitung</t>
  </si>
  <si>
    <t>Andere Holzprodukte</t>
  </si>
  <si>
    <t>262-266</t>
  </si>
  <si>
    <t>271, 272</t>
  </si>
  <si>
    <t>Graphische Erzeugn.</t>
  </si>
  <si>
    <t>281-284</t>
  </si>
  <si>
    <t>Lederwaren, Schuhe</t>
  </si>
  <si>
    <t>291, 292, 293, 5814</t>
  </si>
  <si>
    <t xml:space="preserve">311, 312, 313, 2414 (Chemiefasern) </t>
  </si>
  <si>
    <t>Vereinfachung wegen Chemiefasern</t>
  </si>
  <si>
    <t>Kunst., Kautschuk</t>
  </si>
  <si>
    <t>321, 322</t>
  </si>
  <si>
    <t>Steine, Erden, Bergb.</t>
  </si>
  <si>
    <t>331, 332, 333, 334, 335, 336, 121, 122, 123</t>
  </si>
  <si>
    <t/>
  </si>
  <si>
    <t>Maschinen, Fahrzeuge</t>
  </si>
  <si>
    <t>351, 352, 353, 354, 355, 582</t>
  </si>
  <si>
    <t>Elektronik, Uhren, Optik, sonst. Ind.</t>
  </si>
  <si>
    <t>361, 362, 371, 5811, 5812, 5813</t>
  </si>
  <si>
    <t>372, 381, 382, 383, 384</t>
  </si>
  <si>
    <t>Bauhauptgewerbe</t>
  </si>
  <si>
    <t>411, 412, 413, 414</t>
  </si>
  <si>
    <t>Ausbaugewerbe</t>
  </si>
  <si>
    <t>421, 422</t>
  </si>
  <si>
    <t>511-519, 521-529, 531, 532, 541-545</t>
  </si>
  <si>
    <t>551-559, 561-566</t>
  </si>
  <si>
    <t>571, 572, 573</t>
  </si>
  <si>
    <t>Bahnen, Schiffe</t>
  </si>
  <si>
    <t>611, 612</t>
  </si>
  <si>
    <t>631, 632</t>
  </si>
  <si>
    <t>OeV., Agglomerat.</t>
  </si>
  <si>
    <t>6211, 6212, 6213, 6611 teilweise</t>
  </si>
  <si>
    <t>Strassenverkehr</t>
  </si>
  <si>
    <t>6214, 6215, 622, 623, +Eigenaufträge Ind/Hand.</t>
  </si>
  <si>
    <t>Luftfahrt, Rohrleitungen</t>
  </si>
  <si>
    <t>64, 624</t>
  </si>
  <si>
    <t>PTT, Nachrichten</t>
  </si>
  <si>
    <t>661 teilweise, 662</t>
  </si>
  <si>
    <t>Versicherungen</t>
  </si>
  <si>
    <t>73+---</t>
  </si>
  <si>
    <t>Leasing, Beratung, Verkehrsvermittlung</t>
  </si>
  <si>
    <t>65,74,75,76,84, 85, 87</t>
  </si>
  <si>
    <t>Unterricht, Wissensch. öff.+priv.</t>
  </si>
  <si>
    <t>81, 82, 88,91 teilweise</t>
  </si>
  <si>
    <t>Gesundheitswesen, öff.+priv.</t>
  </si>
  <si>
    <t>Nichtmarktor. Dienstl.</t>
  </si>
  <si>
    <t>86, 89</t>
  </si>
  <si>
    <t>91 nur teilweise, 93</t>
  </si>
  <si>
    <t>Sozialversicherungen</t>
  </si>
  <si>
    <t xml:space="preserve"> KOF: ROHOEL, BRENT, SPOTPREIS IN $ </t>
  </si>
  <si>
    <t xml:space="preserve">HWW: HWWA-IND. ENERGIETRAEGER 1975=100 </t>
  </si>
  <si>
    <t>11526401</t>
  </si>
  <si>
    <t>11526402</t>
  </si>
  <si>
    <t>11526403</t>
  </si>
  <si>
    <t>11525400</t>
  </si>
  <si>
    <t>11525401</t>
  </si>
  <si>
    <t>11525402</t>
  </si>
  <si>
    <t>11525403</t>
  </si>
  <si>
    <t>TS04001200</t>
  </si>
  <si>
    <t>1972:11</t>
  </si>
  <si>
    <t>1972:12</t>
  </si>
  <si>
    <t>1973: 1</t>
  </si>
  <si>
    <t>1973: 2</t>
  </si>
  <si>
    <t>1973: 3</t>
  </si>
  <si>
    <t>1973: 4</t>
  </si>
  <si>
    <t>1973: 5</t>
  </si>
  <si>
    <t>1973: 6</t>
  </si>
  <si>
    <t>1973: 7</t>
  </si>
  <si>
    <t>1973: 8</t>
  </si>
  <si>
    <t>1973: 9</t>
  </si>
  <si>
    <t>1973:10</t>
  </si>
  <si>
    <t>1973:11</t>
  </si>
  <si>
    <t>1973:12</t>
  </si>
  <si>
    <t>1974: 1</t>
  </si>
  <si>
    <t>1974: 2</t>
  </si>
  <si>
    <t>1974: 3</t>
  </si>
  <si>
    <t>1974: 4</t>
  </si>
  <si>
    <t>1974: 5</t>
  </si>
  <si>
    <t>1974: 6</t>
  </si>
  <si>
    <t>1974: 7</t>
  </si>
  <si>
    <t>1974: 8</t>
  </si>
  <si>
    <t>1974: 9</t>
  </si>
  <si>
    <t>1974:10</t>
  </si>
  <si>
    <t>1974:11</t>
  </si>
  <si>
    <t>1974:12</t>
  </si>
  <si>
    <t>1975: 1</t>
  </si>
  <si>
    <t>1975: 2</t>
  </si>
  <si>
    <t>1975: 3</t>
  </si>
  <si>
    <t>1975: 4</t>
  </si>
  <si>
    <t>1975: 5</t>
  </si>
  <si>
    <t>1975: 6</t>
  </si>
  <si>
    <t>1975: 7</t>
  </si>
  <si>
    <t>1975: 8</t>
  </si>
  <si>
    <t>1975: 9</t>
  </si>
  <si>
    <t>1975:10</t>
  </si>
  <si>
    <t>1975:11</t>
  </si>
  <si>
    <t>1975:12</t>
  </si>
  <si>
    <t>1976: 1</t>
  </si>
  <si>
    <t>1976: 2</t>
  </si>
  <si>
    <t>1976: 3</t>
  </si>
  <si>
    <t>1976: 4</t>
  </si>
  <si>
    <t>1976: 5</t>
  </si>
  <si>
    <t>1976: 6</t>
  </si>
  <si>
    <t>1976: 7</t>
  </si>
  <si>
    <t>1976: 8</t>
  </si>
  <si>
    <t>1976: 9</t>
  </si>
  <si>
    <t>1976:10</t>
  </si>
  <si>
    <t>1976:11</t>
  </si>
  <si>
    <t>1976:12</t>
  </si>
  <si>
    <t>1977: 1</t>
  </si>
  <si>
    <t>1977: 2</t>
  </si>
  <si>
    <t>1977: 3</t>
  </si>
  <si>
    <t>1977: 4</t>
  </si>
  <si>
    <t>1977: 5</t>
  </si>
  <si>
    <t>1977: 6</t>
  </si>
  <si>
    <t>1977: 7</t>
  </si>
  <si>
    <t>1977: 8</t>
  </si>
  <si>
    <t>1977: 9</t>
  </si>
  <si>
    <t>1977:10</t>
  </si>
  <si>
    <t>1977:11</t>
  </si>
  <si>
    <t>1977:12</t>
  </si>
  <si>
    <t>1978: 1</t>
  </si>
  <si>
    <t>1978: 2</t>
  </si>
  <si>
    <t>1978: 3</t>
  </si>
  <si>
    <t>1978: 4</t>
  </si>
  <si>
    <t>1978: 5</t>
  </si>
  <si>
    <t>1978: 6</t>
  </si>
  <si>
    <t>1978: 7</t>
  </si>
  <si>
    <t>1978: 8</t>
  </si>
  <si>
    <t>1978: 9</t>
  </si>
  <si>
    <t>1978:10</t>
  </si>
  <si>
    <t>1978:11</t>
  </si>
  <si>
    <t>1978:12</t>
  </si>
  <si>
    <t>1979: 1</t>
  </si>
  <si>
    <t>1979: 2</t>
  </si>
  <si>
    <t>1979: 3</t>
  </si>
  <si>
    <t>1979: 4</t>
  </si>
  <si>
    <t>1979: 5</t>
  </si>
  <si>
    <t>1979: 6</t>
  </si>
  <si>
    <t>1979: 7</t>
  </si>
  <si>
    <t>1979: 8</t>
  </si>
  <si>
    <t>1979: 9</t>
  </si>
  <si>
    <t>1979:10</t>
  </si>
  <si>
    <t>1979:11</t>
  </si>
  <si>
    <t>1979:12</t>
  </si>
  <si>
    <t>1980: 1</t>
  </si>
  <si>
    <t>1980: 2</t>
  </si>
  <si>
    <t>1980: 3</t>
  </si>
  <si>
    <t>1980: 4</t>
  </si>
  <si>
    <t>1980: 5</t>
  </si>
  <si>
    <t>1980: 6</t>
  </si>
  <si>
    <t>1980: 7</t>
  </si>
  <si>
    <t>1980: 8</t>
  </si>
  <si>
    <t>1980: 9</t>
  </si>
  <si>
    <t>1980:10</t>
  </si>
  <si>
    <t>1980:11</t>
  </si>
  <si>
    <t>1980:12</t>
  </si>
  <si>
    <t>1981: 1</t>
  </si>
  <si>
    <t>1981: 2</t>
  </si>
  <si>
    <t>1981: 3</t>
  </si>
  <si>
    <t>1981: 4</t>
  </si>
  <si>
    <t>1981: 5</t>
  </si>
  <si>
    <t>1981: 6</t>
  </si>
  <si>
    <t>1981: 7</t>
  </si>
  <si>
    <t>1981: 8</t>
  </si>
  <si>
    <t>1981: 9</t>
  </si>
  <si>
    <t>1981:10</t>
  </si>
  <si>
    <t>1981:11</t>
  </si>
  <si>
    <t>1981:12</t>
  </si>
  <si>
    <t>1982: 1</t>
  </si>
  <si>
    <t>1982: 2</t>
  </si>
  <si>
    <t>1982: 3</t>
  </si>
  <si>
    <t>1982: 4</t>
  </si>
  <si>
    <t>1982: 5</t>
  </si>
  <si>
    <t>1982: 6</t>
  </si>
  <si>
    <t>1982: 7</t>
  </si>
  <si>
    <t>1982: 8</t>
  </si>
  <si>
    <t>1982: 9</t>
  </si>
  <si>
    <t>1982:10</t>
  </si>
  <si>
    <t>1982:11</t>
  </si>
  <si>
    <t>1982:12</t>
  </si>
  <si>
    <t>1983: 1</t>
  </si>
  <si>
    <t>1983: 2</t>
  </si>
  <si>
    <t>1983: 3</t>
  </si>
  <si>
    <t>1983: 4</t>
  </si>
  <si>
    <t>1983: 5</t>
  </si>
  <si>
    <t>1983: 6</t>
  </si>
  <si>
    <t>1983: 7</t>
  </si>
  <si>
    <t>1983: 8</t>
  </si>
  <si>
    <t>1983: 9</t>
  </si>
  <si>
    <t>1983:10</t>
  </si>
  <si>
    <t>1983:11</t>
  </si>
  <si>
    <t>1983:12</t>
  </si>
  <si>
    <t>1984: 1</t>
  </si>
  <si>
    <t>1984: 2</t>
  </si>
  <si>
    <t>1984: 3</t>
  </si>
  <si>
    <t>1984: 4</t>
  </si>
  <si>
    <t>1984: 5</t>
  </si>
  <si>
    <t>1984: 6</t>
  </si>
  <si>
    <t>1984: 7</t>
  </si>
  <si>
    <t>1984: 8</t>
  </si>
  <si>
    <t>1984: 9</t>
  </si>
  <si>
    <t>1984:10</t>
  </si>
  <si>
    <t>1984:11</t>
  </si>
  <si>
    <t>1984:12</t>
  </si>
  <si>
    <t>1985: 1</t>
  </si>
  <si>
    <t>1985: 2</t>
  </si>
  <si>
    <t>1985: 3</t>
  </si>
  <si>
    <t>1985: 4</t>
  </si>
  <si>
    <t>1985: 5</t>
  </si>
  <si>
    <t>1985: 6</t>
  </si>
  <si>
    <t>1985: 7</t>
  </si>
  <si>
    <t>1985: 8</t>
  </si>
  <si>
    <t>1985: 9</t>
  </si>
  <si>
    <t>1985:10</t>
  </si>
  <si>
    <t>1985:11</t>
  </si>
  <si>
    <t>1985:12</t>
  </si>
  <si>
    <t>1986: 1</t>
  </si>
  <si>
    <t>1986: 2</t>
  </si>
  <si>
    <t>1986: 3</t>
  </si>
  <si>
    <t>1986: 4</t>
  </si>
  <si>
    <t>1986: 5</t>
  </si>
  <si>
    <t>1986: 6</t>
  </si>
  <si>
    <t>1986: 7</t>
  </si>
  <si>
    <t>1986: 8</t>
  </si>
  <si>
    <t>1986: 9</t>
  </si>
  <si>
    <t>1986:10</t>
  </si>
  <si>
    <t>1986:11</t>
  </si>
  <si>
    <t>1986:12</t>
  </si>
  <si>
    <t>1987: 1</t>
  </si>
  <si>
    <t>1987: 2</t>
  </si>
  <si>
    <t>1987: 3</t>
  </si>
  <si>
    <t>1987: 4</t>
  </si>
  <si>
    <t>1987: 5</t>
  </si>
  <si>
    <t>1987: 6</t>
  </si>
  <si>
    <t>1987: 7</t>
  </si>
  <si>
    <t>1987: 8</t>
  </si>
  <si>
    <t>1987: 9</t>
  </si>
  <si>
    <t>1987:10</t>
  </si>
  <si>
    <t>1987:11</t>
  </si>
  <si>
    <t>1987:12</t>
  </si>
  <si>
    <t>1988: 1</t>
  </si>
  <si>
    <t>1988: 2</t>
  </si>
  <si>
    <t>1988: 3</t>
  </si>
  <si>
    <t>1988: 4</t>
  </si>
  <si>
    <t>1988: 5</t>
  </si>
  <si>
    <t>1988: 6</t>
  </si>
  <si>
    <t>1988: 7</t>
  </si>
  <si>
    <t>1988: 8</t>
  </si>
  <si>
    <t>1988: 9</t>
  </si>
  <si>
    <t>1988:10</t>
  </si>
  <si>
    <t>1988:11</t>
  </si>
  <si>
    <t>1988:12</t>
  </si>
  <si>
    <t>1989: 1</t>
  </si>
  <si>
    <t>1989: 2</t>
  </si>
  <si>
    <t>1989: 3</t>
  </si>
  <si>
    <t>1989: 4</t>
  </si>
  <si>
    <t>1989: 5</t>
  </si>
  <si>
    <t>1989: 6</t>
  </si>
  <si>
    <t>1989: 7</t>
  </si>
  <si>
    <t>1989: 8</t>
  </si>
  <si>
    <t>1989: 9</t>
  </si>
  <si>
    <t>1989:10</t>
  </si>
  <si>
    <t>1989:11</t>
  </si>
  <si>
    <t>1989:12</t>
  </si>
  <si>
    <t>1990: 1</t>
  </si>
  <si>
    <t>1990: 2</t>
  </si>
  <si>
    <t>1990: 3</t>
  </si>
  <si>
    <t>1990: 4</t>
  </si>
  <si>
    <t>1990: 5</t>
  </si>
  <si>
    <t>1990: 6</t>
  </si>
  <si>
    <t>1990: 7</t>
  </si>
  <si>
    <t>1990: 8</t>
  </si>
  <si>
    <t>1990: 9</t>
  </si>
  <si>
    <t>1990:10</t>
  </si>
  <si>
    <t>1990:11</t>
  </si>
  <si>
    <t>1990:12</t>
  </si>
  <si>
    <t>1991: 1</t>
  </si>
  <si>
    <t>1991: 2</t>
  </si>
  <si>
    <t>1991: 3</t>
  </si>
  <si>
    <t>1991: 4</t>
  </si>
  <si>
    <t>1991: 5</t>
  </si>
  <si>
    <t>1991: 6</t>
  </si>
  <si>
    <t>1991: 7</t>
  </si>
  <si>
    <t>1991: 8</t>
  </si>
  <si>
    <t>1991: 9</t>
  </si>
  <si>
    <t>1991:10</t>
  </si>
  <si>
    <t>1991:11</t>
  </si>
  <si>
    <t>1991:12</t>
  </si>
  <si>
    <t>1992: 1</t>
  </si>
  <si>
    <t>1992: 2</t>
  </si>
  <si>
    <t>1992: 3</t>
  </si>
  <si>
    <t>1992: 4</t>
  </si>
  <si>
    <t>1992: 5</t>
  </si>
  <si>
    <t>1992: 6</t>
  </si>
  <si>
    <t>1992: 7</t>
  </si>
  <si>
    <t>1992: 8</t>
  </si>
  <si>
    <t>1992: 9</t>
  </si>
  <si>
    <t>1992:10</t>
  </si>
  <si>
    <t>1992:11</t>
  </si>
  <si>
    <t>1992:12</t>
  </si>
  <si>
    <t>1993: 1</t>
  </si>
  <si>
    <t>1993: 2</t>
  </si>
  <si>
    <t>1993: 3</t>
  </si>
  <si>
    <t>1993: 4</t>
  </si>
  <si>
    <t>1993: 5</t>
  </si>
  <si>
    <t>1993: 6</t>
  </si>
  <si>
    <t>1993: 7</t>
  </si>
  <si>
    <t>1993: 8</t>
  </si>
  <si>
    <t>1993:9</t>
  </si>
  <si>
    <t>1993.10</t>
  </si>
  <si>
    <t>1993:11</t>
  </si>
  <si>
    <t>1993:12</t>
  </si>
  <si>
    <t>1994:1</t>
  </si>
  <si>
    <t>1994:2</t>
  </si>
  <si>
    <t>1994:3</t>
  </si>
  <si>
    <t>1994:4</t>
  </si>
  <si>
    <t>1994:5</t>
  </si>
  <si>
    <t>1994:6</t>
  </si>
  <si>
    <t>1994:7</t>
  </si>
  <si>
    <t>1994:8</t>
  </si>
  <si>
    <t>1994:9</t>
  </si>
  <si>
    <t>1994.10</t>
  </si>
  <si>
    <t>1994:11</t>
  </si>
  <si>
    <t>1994:12</t>
  </si>
  <si>
    <t>1995:1</t>
  </si>
  <si>
    <t>1995:2</t>
  </si>
  <si>
    <t>1995:3</t>
  </si>
  <si>
    <t>1995:4</t>
  </si>
  <si>
    <t>1995:5</t>
  </si>
  <si>
    <t>1995:6</t>
  </si>
  <si>
    <t>1995:7</t>
  </si>
  <si>
    <t>1995:8</t>
  </si>
  <si>
    <t>1995:9</t>
  </si>
  <si>
    <t>1995.10</t>
  </si>
  <si>
    <t>1995:11</t>
  </si>
  <si>
    <t>1995:12</t>
  </si>
  <si>
    <t>1996:1</t>
  </si>
  <si>
    <t>1996:2</t>
  </si>
  <si>
    <t>1996:3</t>
  </si>
  <si>
    <t>1996:4</t>
  </si>
  <si>
    <t>1996:5</t>
  </si>
  <si>
    <t>1996:6</t>
  </si>
  <si>
    <t>1996:7</t>
  </si>
  <si>
    <t>1996:8</t>
  </si>
  <si>
    <t>1996:9</t>
  </si>
  <si>
    <t>1996.10</t>
  </si>
  <si>
    <t>1996:11</t>
  </si>
  <si>
    <t>1996:12</t>
  </si>
  <si>
    <t>1997:1</t>
  </si>
  <si>
    <t>1997:2</t>
  </si>
  <si>
    <t>x</t>
  </si>
  <si>
    <t>1997:3</t>
  </si>
  <si>
    <t>1997:4</t>
  </si>
  <si>
    <t>1997:5</t>
  </si>
  <si>
    <t>1997:6</t>
  </si>
  <si>
    <t>1997:7</t>
  </si>
  <si>
    <t>1997:8</t>
  </si>
  <si>
    <t>1997:9</t>
  </si>
  <si>
    <t>1997.10</t>
  </si>
  <si>
    <t>1997:11</t>
  </si>
  <si>
    <t>1997:12</t>
  </si>
  <si>
    <t>1998:1</t>
  </si>
  <si>
    <t>1998:2</t>
  </si>
  <si>
    <t>1998:3</t>
  </si>
  <si>
    <t>1998:4</t>
  </si>
  <si>
    <t>1998:5</t>
  </si>
  <si>
    <t>1998:6</t>
  </si>
  <si>
    <t>1998:7</t>
  </si>
  <si>
    <t>1998:8</t>
  </si>
  <si>
    <t>1998:9</t>
  </si>
  <si>
    <t>1998:10</t>
  </si>
  <si>
    <t>1998:11</t>
  </si>
  <si>
    <t>1998:12</t>
  </si>
  <si>
    <t>1999:1</t>
  </si>
  <si>
    <t>1999:2</t>
  </si>
  <si>
    <t xml:space="preserve">11526401 : HWW: HWWA-IND. ENERGIETRAEGER X11M D11 </t>
  </si>
  <si>
    <t xml:space="preserve">11526402 : HWW: HWWA-IND. ENERGIETRAEGER X11M D12 </t>
  </si>
  <si>
    <t xml:space="preserve">11526403 : HWW: HWWA-IND. ENERGIETRAEGER X11M E 2 </t>
  </si>
  <si>
    <t xml:space="preserve">11524400 : KOF: ID ENERGIETRAEGER ($-BASIS) 01.79=100 </t>
  </si>
  <si>
    <t xml:space="preserve">11524401 : KOF: ID ENERGIETRAEGER ($-BASIS) X11M D11 </t>
  </si>
  <si>
    <t xml:space="preserve">11524402 : KOF: ID ENERGIETRAEGER ($-BASIS) X11M D12 </t>
  </si>
  <si>
    <t xml:space="preserve">11524403 : KOF: ID ENERGIETRAEGER ($-BASIS) X11M E 2 </t>
  </si>
  <si>
    <t xml:space="preserve">11525400 : KOF: HWWA-IND. ENERGIETRAEGER 01.79=100 </t>
  </si>
  <si>
    <t xml:space="preserve">11525401 : KOF: HWWA-IND. ENERGIETRAEGER X11M D11 </t>
  </si>
  <si>
    <t xml:space="preserve">11525402 : KOF: HWWA-IND. ENERGIETRAEGER X11M D12 </t>
  </si>
  <si>
    <t xml:space="preserve">11525403 : KOF: HWWA-IND. ENERGIETRAEGER X11M E 2 </t>
  </si>
  <si>
    <t>VL-Lieferungen</t>
  </si>
  <si>
    <t>ohne Eigenverbrauch</t>
  </si>
  <si>
    <t>Schweizerischer Erdölverbrauch</t>
  </si>
  <si>
    <t>Endnachfrage</t>
  </si>
  <si>
    <t>Lagerveränderung</t>
  </si>
  <si>
    <t>Exporte</t>
  </si>
  <si>
    <t>Landesverbrauch</t>
  </si>
  <si>
    <t>Raffinerien Rohöl</t>
  </si>
  <si>
    <t>Einsparung von 30% des Landesverbrauchs</t>
  </si>
  <si>
    <t>a) nur bei Endnachfrage</t>
  </si>
  <si>
    <t>Fr. pro MWh</t>
  </si>
  <si>
    <t>Datum</t>
  </si>
  <si>
    <t>CHF je MWh</t>
  </si>
  <si>
    <t>CHF je kWh</t>
  </si>
  <si>
    <t>Engadiner Kraftwerke</t>
  </si>
  <si>
    <t>1998/1999</t>
  </si>
  <si>
    <t>1999/2000</t>
  </si>
  <si>
    <t>GWh</t>
  </si>
  <si>
    <t>Betriebsauwand</t>
  </si>
  <si>
    <t>Finanzaufwand</t>
  </si>
  <si>
    <t>Produktionsaufwand</t>
  </si>
  <si>
    <t>.... Fr. je GWh</t>
  </si>
  <si>
    <t>.... Fr. je MWh</t>
  </si>
  <si>
    <t>.... Fr. je kWh</t>
  </si>
  <si>
    <t>SWEP (Fr. je MWh)</t>
  </si>
  <si>
    <t>BKW verfügt über 29.7% der Bezugsrechte und 25% des Aktienkapitals</t>
  </si>
  <si>
    <t>Anteile</t>
  </si>
  <si>
    <t>Verhältnis</t>
  </si>
  <si>
    <t>Gestehungspreis</t>
  </si>
  <si>
    <t>Marktpreis</t>
  </si>
  <si>
    <t>1995 betrug der durchschnittliche Importpreis je kWh 4.8 Rappen bzw. 47.66 Franken je MWh</t>
  </si>
  <si>
    <t>B ms 17.4.2001</t>
  </si>
  <si>
    <t>vor Steuern</t>
  </si>
  <si>
    <t>ohne Export</t>
  </si>
  <si>
    <t>ohne Export plus ausfallender Import</t>
  </si>
  <si>
    <t>1999:3</t>
  </si>
  <si>
    <t>1999:4</t>
  </si>
  <si>
    <t>1999:5</t>
  </si>
  <si>
    <t>1999:6</t>
  </si>
  <si>
    <t>1999:7</t>
  </si>
  <si>
    <t>1999:8</t>
  </si>
  <si>
    <t>1999:9</t>
  </si>
  <si>
    <t>1999:10</t>
  </si>
  <si>
    <t>1999:11</t>
  </si>
  <si>
    <t>1999:12</t>
  </si>
  <si>
    <t>2000:1</t>
  </si>
  <si>
    <t>2000:2</t>
  </si>
  <si>
    <t>2000:3</t>
  </si>
  <si>
    <t>2000:4</t>
  </si>
  <si>
    <t>2000:5</t>
  </si>
  <si>
    <t>2000:6</t>
  </si>
  <si>
    <t>2000:7</t>
  </si>
  <si>
    <t>2000:8</t>
  </si>
  <si>
    <t>2000:9</t>
  </si>
  <si>
    <t>2000:10</t>
  </si>
  <si>
    <t>2000:11</t>
  </si>
  <si>
    <t>2000:12</t>
  </si>
  <si>
    <t>2001:1</t>
  </si>
  <si>
    <t>2002:2</t>
  </si>
  <si>
    <t>2001:2</t>
  </si>
  <si>
    <t>2001:3</t>
  </si>
  <si>
    <t>2001:4</t>
  </si>
  <si>
    <t>2001:5</t>
  </si>
  <si>
    <t>2001:6</t>
  </si>
  <si>
    <t>2001:7</t>
  </si>
  <si>
    <t>2001:8</t>
  </si>
  <si>
    <t>2001:9</t>
  </si>
  <si>
    <t>2001:10</t>
  </si>
  <si>
    <t>2001:11</t>
  </si>
  <si>
    <t>2001:12</t>
  </si>
  <si>
    <t>2002:1</t>
  </si>
  <si>
    <t>2002:3</t>
  </si>
  <si>
    <t>2002:4</t>
  </si>
  <si>
    <t>2002:5</t>
  </si>
  <si>
    <t>2002:6</t>
  </si>
  <si>
    <t>2002:7</t>
  </si>
  <si>
    <t>2002:8</t>
  </si>
  <si>
    <t>US$ je MWh</t>
  </si>
  <si>
    <t>EUR je MWh</t>
  </si>
  <si>
    <t>SWEP in US$ je MWh</t>
  </si>
  <si>
    <t>User ID</t>
  </si>
  <si>
    <t>:</t>
  </si>
  <si>
    <t>swep</t>
  </si>
  <si>
    <t>Passwort</t>
  </si>
  <si>
    <t>stromer2000</t>
  </si>
  <si>
    <t>Mit freundlichen Grüssen</t>
  </si>
  <si>
    <t>BKW FMB Energie AG</t>
  </si>
  <si>
    <t>-----Ursprüngliche Nachricht-----</t>
  </si>
  <si>
    <t>Von: mail@screenlight.ch [mailto:mail@screenlight.ch]</t>
  </si>
  <si>
    <t>Gesendet: Donnerstag, 3. Januar 2002 15:14</t>
  </si>
  <si>
    <t>An: swep@bkw-fmb.ch</t>
  </si>
  <si>
    <t>Betreff: BKW-online / Registrierung SWEP</t>
  </si>
  <si>
    <t xml:space="preserve">Titel                         Registrierung SWEP </t>
  </si>
  <si>
    <t>------------------------------------------------------------</t>
  </si>
  <si>
    <t xml:space="preserve">Anrede                        Herr </t>
  </si>
  <si>
    <t xml:space="preserve">Firma                         Finanzkontrolle Kanton BE </t>
  </si>
  <si>
    <t xml:space="preserve">Name                          Schnewlin </t>
  </si>
  <si>
    <t xml:space="preserve">Vorname                       Matthias </t>
  </si>
  <si>
    <t xml:space="preserve">Strasse                       Schermenweg 5 </t>
  </si>
  <si>
    <t xml:space="preserve">plz                           3001 Bern </t>
  </si>
  <si>
    <t xml:space="preserve">Ort                           ern </t>
  </si>
  <si>
    <t xml:space="preserve">Telefon                       031 634 25 81 </t>
  </si>
  <si>
    <t xml:space="preserve">Fax                            </t>
  </si>
  <si>
    <t xml:space="preserve">Mobile                         </t>
  </si>
  <si>
    <t xml:space="preserve">email                         matthias.schnewlin@fin.be.ch </t>
  </si>
  <si>
    <t xml:space="preserve">Verwendung_der_SWEP-Daten:    Interne Berichterstattung </t>
  </si>
  <si>
    <t>Stichtag 11. des Monats</t>
  </si>
  <si>
    <t>SWEP Durchschnittspreis</t>
  </si>
  <si>
    <t>CHF/MWh</t>
  </si>
  <si>
    <t>2002:10</t>
  </si>
  <si>
    <t>Veränderung</t>
  </si>
  <si>
    <t>2002:9</t>
  </si>
  <si>
    <t>2002:11</t>
  </si>
  <si>
    <t>2002:12</t>
  </si>
  <si>
    <t>2003:1</t>
  </si>
  <si>
    <t>2003:2</t>
  </si>
  <si>
    <t>2003:3</t>
  </si>
  <si>
    <t>2003:4</t>
  </si>
  <si>
    <t>2003:5</t>
  </si>
  <si>
    <t>2003:6</t>
  </si>
  <si>
    <t>2003:7</t>
  </si>
  <si>
    <t>2003:8</t>
  </si>
  <si>
    <t>2003:9</t>
  </si>
  <si>
    <t>2003:10</t>
  </si>
  <si>
    <t>2003:11</t>
  </si>
  <si>
    <t>2003:12</t>
  </si>
  <si>
    <t>2004:1</t>
  </si>
  <si>
    <t>2004:2</t>
  </si>
  <si>
    <t>2004:3</t>
  </si>
  <si>
    <t>2004:4</t>
  </si>
  <si>
    <t>2004:5</t>
  </si>
  <si>
    <t>http://www.eia.doe.gov/emeu/international/crude1.html</t>
  </si>
  <si>
    <t>ab 2002 Stichtag 11. des Monats</t>
  </si>
  <si>
    <t>BRENT-ROHÖL:</t>
  </si>
  <si>
    <t>24.02.03</t>
  </si>
  <si>
    <t>25.02.03</t>
  </si>
  <si>
    <t>26.02.03</t>
  </si>
  <si>
    <t>27.02.03</t>
  </si>
  <si>
    <t>28.02.03</t>
  </si>
  <si>
    <t>03.03.03</t>
  </si>
  <si>
    <t>04.03.03</t>
  </si>
  <si>
    <t>05.03.03</t>
  </si>
  <si>
    <t>06.03.03</t>
  </si>
  <si>
    <t>07.03.03</t>
  </si>
  <si>
    <t>10.03.03</t>
  </si>
  <si>
    <t>11.03.03</t>
  </si>
  <si>
    <t>12.03.03</t>
  </si>
  <si>
    <t>13.03.03</t>
  </si>
  <si>
    <t>14.03.03</t>
  </si>
  <si>
    <t>17.03.03</t>
  </si>
  <si>
    <t>18.03.03</t>
  </si>
  <si>
    <t>19.03.03</t>
  </si>
  <si>
    <t>20.03.03</t>
  </si>
  <si>
    <t>21.03.03</t>
  </si>
  <si>
    <t>24.03.03</t>
  </si>
  <si>
    <t>25.03.03</t>
  </si>
  <si>
    <t>26.03.03</t>
  </si>
  <si>
    <t>27.03.03</t>
  </si>
  <si>
    <t>28.03.03</t>
  </si>
  <si>
    <t>31.03.03</t>
  </si>
  <si>
    <t>01.04.03</t>
  </si>
  <si>
    <t>02.04.03</t>
  </si>
  <si>
    <t>03.04.03</t>
  </si>
  <si>
    <t>04.04.03</t>
  </si>
  <si>
    <t>07.04.03</t>
  </si>
  <si>
    <t>08.04.03</t>
  </si>
  <si>
    <t>09.04.03</t>
  </si>
  <si>
    <t>10.04.03</t>
  </si>
  <si>
    <t>11.04.03</t>
  </si>
  <si>
    <t>14.04.03</t>
  </si>
  <si>
    <t>15.04.03</t>
  </si>
  <si>
    <t>16.04.03</t>
  </si>
  <si>
    <t>17.04.03</t>
  </si>
  <si>
    <t>22.04.03</t>
  </si>
  <si>
    <t>23.04.03</t>
  </si>
  <si>
    <t>24.04.03</t>
  </si>
  <si>
    <t>25.04.03</t>
  </si>
  <si>
    <t>28.04.03</t>
  </si>
  <si>
    <t>29.04.03</t>
  </si>
  <si>
    <t>30.04.03</t>
  </si>
  <si>
    <t>02.05.03</t>
  </si>
  <si>
    <t>05.05.03</t>
  </si>
  <si>
    <t>06.05.03</t>
  </si>
  <si>
    <t>07.05.03</t>
  </si>
  <si>
    <t>08.05.03</t>
  </si>
  <si>
    <t>09.05.03</t>
  </si>
  <si>
    <t>12.05.03</t>
  </si>
  <si>
    <t>13.05.03</t>
  </si>
  <si>
    <t>14.05.03</t>
  </si>
  <si>
    <t>15.05.03</t>
  </si>
  <si>
    <t>16.05.03</t>
  </si>
  <si>
    <t>19.05.03</t>
  </si>
  <si>
    <t>20.05.03</t>
  </si>
  <si>
    <t>21.05.03</t>
  </si>
  <si>
    <t>22.05.03</t>
  </si>
  <si>
    <t>23.05.03</t>
  </si>
  <si>
    <t>26.05.03</t>
  </si>
  <si>
    <t>27.05.03</t>
  </si>
  <si>
    <t>28.05.03</t>
  </si>
  <si>
    <t>30.05.03</t>
  </si>
  <si>
    <t>02.06.03</t>
  </si>
  <si>
    <t>03.06.03</t>
  </si>
  <si>
    <t>04.06.03</t>
  </si>
  <si>
    <t>05.06.03</t>
  </si>
  <si>
    <t>06.06.03</t>
  </si>
  <si>
    <t>10.06.03</t>
  </si>
  <si>
    <t>11.06.03</t>
  </si>
  <si>
    <t>12.06.03</t>
  </si>
  <si>
    <t>13.06.03</t>
  </si>
  <si>
    <t>16.06.03</t>
  </si>
  <si>
    <t>17.06.03</t>
  </si>
  <si>
    <t>18.06.03</t>
  </si>
  <si>
    <t>19.06.03</t>
  </si>
  <si>
    <t>20.06.03</t>
  </si>
  <si>
    <t>23.06.03</t>
  </si>
  <si>
    <t>24.06.03</t>
  </si>
  <si>
    <t>25.06.03</t>
  </si>
  <si>
    <t>26.06.03</t>
  </si>
  <si>
    <t>27.06.03</t>
  </si>
  <si>
    <t>30.06.03</t>
  </si>
  <si>
    <t>01.07.03</t>
  </si>
  <si>
    <t>02.07.03</t>
  </si>
  <si>
    <t>03.07.03</t>
  </si>
  <si>
    <t>04.07.03</t>
  </si>
  <si>
    <t>07.07.03</t>
  </si>
  <si>
    <t>08.07.03</t>
  </si>
  <si>
    <t>09.07.03</t>
  </si>
  <si>
    <t>10.07.03</t>
  </si>
  <si>
    <t>11.07.03</t>
  </si>
  <si>
    <t>14.07.03</t>
  </si>
  <si>
    <t>15.07.03</t>
  </si>
  <si>
    <t>16.07.03</t>
  </si>
  <si>
    <t>17.07.03</t>
  </si>
  <si>
    <t>18.07.03</t>
  </si>
  <si>
    <t>21.07.03</t>
  </si>
  <si>
    <t>22.07.03</t>
  </si>
  <si>
    <t>23.07.03</t>
  </si>
  <si>
    <t>24.07.03</t>
  </si>
  <si>
    <t>25.07.03</t>
  </si>
  <si>
    <t>28.07.03</t>
  </si>
  <si>
    <t>29.07.03</t>
  </si>
  <si>
    <t>30.07.03</t>
  </si>
  <si>
    <t>31.07.03</t>
  </si>
  <si>
    <t>04.08.03</t>
  </si>
  <si>
    <t>05.08.03</t>
  </si>
  <si>
    <t>06.08.03</t>
  </si>
  <si>
    <t>07.08.03</t>
  </si>
  <si>
    <t>08.08.03</t>
  </si>
  <si>
    <t>11.08.03</t>
  </si>
  <si>
    <t>12.08.03</t>
  </si>
  <si>
    <t>13.08.03</t>
  </si>
  <si>
    <t>14.08.03</t>
  </si>
  <si>
    <t>Vol   MWh</t>
  </si>
  <si>
    <t>2004:6</t>
  </si>
  <si>
    <t>2004:7</t>
  </si>
  <si>
    <t>2004:8</t>
  </si>
  <si>
    <t>2004:9</t>
  </si>
  <si>
    <t>2004:10</t>
  </si>
  <si>
    <t>2004:11</t>
  </si>
  <si>
    <t>2004:12</t>
  </si>
  <si>
    <t>18.08.03</t>
  </si>
  <si>
    <t>19.08.03</t>
  </si>
  <si>
    <t>20.08.03</t>
  </si>
  <si>
    <t>21.08.03</t>
  </si>
  <si>
    <t>22.08.03</t>
  </si>
  <si>
    <t>25.08.03</t>
  </si>
  <si>
    <t>26.08.03</t>
  </si>
  <si>
    <t>27.08.03</t>
  </si>
  <si>
    <t>28.08.03</t>
  </si>
  <si>
    <t>29.08.03</t>
  </si>
  <si>
    <t>01.09.03</t>
  </si>
  <si>
    <t>02.09.03</t>
  </si>
  <si>
    <t>03.09.03</t>
  </si>
  <si>
    <t>04.09.03</t>
  </si>
  <si>
    <t>05.09.03</t>
  </si>
  <si>
    <t>08.09.03</t>
  </si>
  <si>
    <t>09.09.03</t>
  </si>
  <si>
    <t>10.09.03</t>
  </si>
  <si>
    <t>11.09.03</t>
  </si>
  <si>
    <t>12.09.03</t>
  </si>
  <si>
    <t>15.09.03</t>
  </si>
  <si>
    <t>16.09.03</t>
  </si>
  <si>
    <t>17.09.03</t>
  </si>
  <si>
    <t>18.09.03</t>
  </si>
  <si>
    <t>19.09.03</t>
  </si>
  <si>
    <t>22.09.03</t>
  </si>
  <si>
    <t>23.09.03</t>
  </si>
  <si>
    <t>24.09.03</t>
  </si>
  <si>
    <t>25.09.03</t>
  </si>
  <si>
    <t>26.09.03</t>
  </si>
  <si>
    <t>29.09.03</t>
  </si>
  <si>
    <t>30.09.03</t>
  </si>
  <si>
    <t>01.10.03</t>
  </si>
  <si>
    <t>02.10.03</t>
  </si>
  <si>
    <t>03.10.03</t>
  </si>
  <si>
    <t>06.10.03</t>
  </si>
  <si>
    <t>07.10.03</t>
  </si>
  <si>
    <t>08.10.03</t>
  </si>
  <si>
    <t>09.10.03</t>
  </si>
  <si>
    <t>10.10.03</t>
  </si>
  <si>
    <t>13.10.03</t>
  </si>
  <si>
    <t>14.10.03</t>
  </si>
  <si>
    <t>15.10.03</t>
  </si>
  <si>
    <t>16.10.03</t>
  </si>
  <si>
    <t>17.10.03</t>
  </si>
  <si>
    <t>20.10.03</t>
  </si>
  <si>
    <t>21.10.03</t>
  </si>
  <si>
    <t>22.10.03</t>
  </si>
  <si>
    <t>23.10.03</t>
  </si>
  <si>
    <t>24.10.03</t>
  </si>
  <si>
    <t>27.10.03</t>
  </si>
  <si>
    <t>28.10.03</t>
  </si>
  <si>
    <t>29.10.03</t>
  </si>
  <si>
    <t>30.10.03</t>
  </si>
  <si>
    <t>31.10.03</t>
  </si>
  <si>
    <t>03.11.03</t>
  </si>
  <si>
    <t>04.11.03</t>
  </si>
  <si>
    <t>05.11.03</t>
  </si>
  <si>
    <t>06.11.03</t>
  </si>
  <si>
    <t>07.11.03</t>
  </si>
  <si>
    <t>10.11.03</t>
  </si>
  <si>
    <t>11.11.03</t>
  </si>
  <si>
    <t>12.11.03</t>
  </si>
  <si>
    <t>13.11.03</t>
  </si>
  <si>
    <t>14.11.03</t>
  </si>
  <si>
    <t>17.11.03</t>
  </si>
  <si>
    <t>18.11.03</t>
  </si>
  <si>
    <t>19.11.03</t>
  </si>
  <si>
    <t>20.11.03</t>
  </si>
  <si>
    <t>21.11.03</t>
  </si>
  <si>
    <t>24.11.03</t>
  </si>
  <si>
    <t>25.11.03</t>
  </si>
  <si>
    <t>26.11.03</t>
  </si>
  <si>
    <t>27.11.03</t>
  </si>
  <si>
    <t>28.11.03</t>
  </si>
  <si>
    <t>01.12.03</t>
  </si>
  <si>
    <t>02.12.03</t>
  </si>
</sst>
</file>

<file path=xl/styles.xml><?xml version="1.0" encoding="utf-8"?>
<styleSheet xmlns="http://schemas.openxmlformats.org/spreadsheetml/2006/main">
  <numFmts count="2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 &quot;Fr.&quot;\ * #,##0_ ;_ &quot;Fr.&quot;\ * \-#,##0_ ;_ &quot;Fr.&quot;\ * &quot;-&quot;_ ;_ @_ "/>
    <numFmt numFmtId="165" formatCode="&quot;Fr.&quot;\ #,##0.00;[Red]\-&quot;Fr.&quot;\ #,##0.00"/>
    <numFmt numFmtId="166" formatCode="d\.mmm"/>
    <numFmt numFmtId="167" formatCode="0.0%"/>
    <numFmt numFmtId="168" formatCode="#,#00"/>
    <numFmt numFmtId="169" formatCode="0.0000"/>
    <numFmt numFmtId="170" formatCode="0.00000"/>
    <numFmt numFmtId="171" formatCode="0.000"/>
    <numFmt numFmtId="172" formatCode="0.0"/>
    <numFmt numFmtId="173" formatCode="#,##0.0"/>
    <numFmt numFmtId="174" formatCode="_ * #,##0_ ;_ * \-#,##0_ ;_ * &quot;-&quot;??_ ;_ @_ "/>
    <numFmt numFmtId="175" formatCode="#,##0.0000"/>
    <numFmt numFmtId="176" formatCode="00"/>
    <numFmt numFmtId="177" formatCode="[$-807]dddd\,\ d\.\ mmmm\ yyyy"/>
    <numFmt numFmtId="178" formatCode="dd/mm/yyyy;@"/>
    <numFmt numFmtId="179" formatCode="dd/mm/yy;@"/>
  </numFmts>
  <fonts count="2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8"/>
      <name val="Helv"/>
      <family val="0"/>
    </font>
    <font>
      <sz val="10"/>
      <name val="Arial"/>
      <family val="0"/>
    </font>
    <font>
      <sz val="7.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Helv"/>
      <family val="0"/>
    </font>
    <font>
      <sz val="9"/>
      <name val="Arial"/>
      <family val="0"/>
    </font>
    <font>
      <sz val="8"/>
      <name val="Helv"/>
      <family val="0"/>
    </font>
    <font>
      <sz val="16"/>
      <name val="Arial"/>
      <family val="2"/>
    </font>
    <font>
      <sz val="20"/>
      <name val="Arial"/>
      <family val="2"/>
    </font>
    <font>
      <sz val="8"/>
      <name val="Tahoma"/>
      <family val="0"/>
    </font>
    <font>
      <sz val="11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11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10"/>
      <name val="Tahoma"/>
      <family val="0"/>
    </font>
    <font>
      <b/>
      <sz val="10"/>
      <name val="Tahoma"/>
      <family val="0"/>
    </font>
  </fonts>
  <fills count="3">
    <fill>
      <patternFill/>
    </fill>
    <fill>
      <patternFill patternType="gray125"/>
    </fill>
    <fill>
      <patternFill patternType="lightGray"/>
    </fill>
  </fills>
  <borders count="1">
    <border>
      <left/>
      <right/>
      <top/>
      <bottom/>
      <diagonal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165" fontId="0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167" fontId="0" fillId="0" borderId="0" xfId="0" applyNumberFormat="1" applyAlignment="1">
      <alignment/>
    </xf>
    <xf numFmtId="166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168" fontId="0" fillId="0" borderId="0" xfId="0" applyNumberFormat="1" applyAlignment="1">
      <alignment horizontal="right"/>
    </xf>
    <xf numFmtId="168" fontId="0" fillId="0" borderId="0" xfId="0" applyNumberFormat="1" applyAlignment="1">
      <alignment/>
    </xf>
    <xf numFmtId="168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10" fontId="4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69" fontId="0" fillId="0" borderId="0" xfId="0" applyNumberFormat="1" applyAlignment="1">
      <alignment/>
    </xf>
    <xf numFmtId="167" fontId="1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right"/>
    </xf>
    <xf numFmtId="172" fontId="8" fillId="0" borderId="0" xfId="0" applyNumberFormat="1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Continuous"/>
    </xf>
    <xf numFmtId="171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centerContinuous"/>
    </xf>
    <xf numFmtId="172" fontId="5" fillId="0" borderId="0" xfId="0" applyNumberFormat="1" applyFont="1" applyAlignment="1">
      <alignment/>
    </xf>
    <xf numFmtId="172" fontId="5" fillId="0" borderId="0" xfId="0" applyNumberFormat="1" applyFont="1" applyAlignment="1">
      <alignment horizontal="centerContinuous"/>
    </xf>
    <xf numFmtId="172" fontId="9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1" fontId="9" fillId="0" borderId="0" xfId="0" applyNumberFormat="1" applyFont="1" applyAlignment="1">
      <alignment/>
    </xf>
    <xf numFmtId="0" fontId="9" fillId="0" borderId="0" xfId="0" applyFont="1" applyAlignment="1">
      <alignment/>
    </xf>
    <xf numFmtId="171" fontId="9" fillId="0" borderId="0" xfId="0" applyNumberFormat="1" applyFont="1" applyAlignment="1">
      <alignment/>
    </xf>
    <xf numFmtId="0" fontId="5" fillId="0" borderId="0" xfId="0" applyFont="1" applyAlignment="1">
      <alignment/>
    </xf>
    <xf numFmtId="171" fontId="5" fillId="0" borderId="0" xfId="0" applyNumberFormat="1" applyFont="1" applyAlignment="1">
      <alignment/>
    </xf>
    <xf numFmtId="1" fontId="9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169" fontId="9" fillId="0" borderId="0" xfId="0" applyNumberFormat="1" applyFont="1" applyAlignment="1">
      <alignment/>
    </xf>
    <xf numFmtId="171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5" fillId="0" borderId="0" xfId="0" applyNumberFormat="1" applyFont="1" applyAlignment="1">
      <alignment horizontal="right"/>
    </xf>
    <xf numFmtId="172" fontId="5" fillId="2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168" fontId="5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0" xfId="0" applyNumberFormat="1" applyFont="1" applyAlignment="1">
      <alignment/>
    </xf>
    <xf numFmtId="0" fontId="9" fillId="0" borderId="0" xfId="0" applyFont="1" applyAlignment="1">
      <alignment/>
    </xf>
    <xf numFmtId="172" fontId="9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16" fontId="9" fillId="0" borderId="0" xfId="0" applyNumberFormat="1" applyFont="1" applyAlignment="1">
      <alignment horizontal="right"/>
    </xf>
    <xf numFmtId="0" fontId="0" fillId="0" borderId="0" xfId="0" applyAlignment="1">
      <alignment/>
    </xf>
    <xf numFmtId="1" fontId="5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71" fontId="9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0" fontId="9" fillId="0" borderId="0" xfId="21" applyFont="1">
      <alignment/>
      <protection/>
    </xf>
    <xf numFmtId="0" fontId="5" fillId="0" borderId="0" xfId="21" applyFont="1">
      <alignment/>
      <protection/>
    </xf>
    <xf numFmtId="1" fontId="8" fillId="0" borderId="0" xfId="21" applyNumberFormat="1" applyFont="1">
      <alignment/>
      <protection/>
    </xf>
    <xf numFmtId="1" fontId="8" fillId="0" borderId="0" xfId="21" applyNumberFormat="1" applyFont="1" applyAlignment="1">
      <alignment horizontal="right"/>
      <protection/>
    </xf>
    <xf numFmtId="1" fontId="5" fillId="0" borderId="0" xfId="21" applyNumberFormat="1" applyFont="1">
      <alignment/>
      <protection/>
    </xf>
    <xf numFmtId="0" fontId="5" fillId="0" borderId="0" xfId="21" applyFont="1">
      <alignment/>
      <protection/>
    </xf>
    <xf numFmtId="1" fontId="5" fillId="0" borderId="0" xfId="21" applyNumberFormat="1" applyFont="1">
      <alignment/>
      <protection/>
    </xf>
    <xf numFmtId="1" fontId="9" fillId="0" borderId="0" xfId="21" applyNumberFormat="1" applyFont="1">
      <alignment/>
      <protection/>
    </xf>
    <xf numFmtId="1" fontId="5" fillId="0" borderId="0" xfId="21" applyNumberFormat="1" applyFont="1" applyFill="1" applyBorder="1" applyAlignment="1">
      <alignment vertical="top" wrapText="1"/>
      <protection/>
    </xf>
    <xf numFmtId="171" fontId="5" fillId="0" borderId="0" xfId="21" applyNumberFormat="1" applyFont="1">
      <alignment/>
      <protection/>
    </xf>
    <xf numFmtId="1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5" fillId="0" borderId="0" xfId="21" applyNumberFormat="1" applyFont="1">
      <alignment/>
      <protection/>
    </xf>
    <xf numFmtId="172" fontId="9" fillId="0" borderId="0" xfId="21" applyNumberFormat="1" applyFont="1">
      <alignment/>
      <protection/>
    </xf>
    <xf numFmtId="169" fontId="5" fillId="0" borderId="0" xfId="21" applyNumberFormat="1" applyFont="1">
      <alignment/>
      <protection/>
    </xf>
    <xf numFmtId="1" fontId="5" fillId="0" borderId="0" xfId="22" applyNumberFormat="1" applyFont="1">
      <alignment/>
      <protection/>
    </xf>
    <xf numFmtId="172" fontId="9" fillId="0" borderId="0" xfId="0" applyNumberFormat="1" applyFont="1" applyAlignment="1">
      <alignment horizontal="right"/>
    </xf>
    <xf numFmtId="172" fontId="9" fillId="0" borderId="0" xfId="0" applyNumberFormat="1" applyFont="1" applyAlignment="1">
      <alignment horizontal="right"/>
    </xf>
    <xf numFmtId="172" fontId="12" fillId="0" borderId="0" xfId="0" applyNumberFormat="1" applyFont="1" applyAlignment="1">
      <alignment/>
    </xf>
    <xf numFmtId="0" fontId="9" fillId="0" borderId="0" xfId="23" applyFont="1">
      <alignment/>
      <protection/>
    </xf>
    <xf numFmtId="0" fontId="5" fillId="0" borderId="0" xfId="23">
      <alignment/>
      <protection/>
    </xf>
    <xf numFmtId="0" fontId="5" fillId="0" borderId="0" xfId="23" applyAlignment="1">
      <alignment horizontal="centerContinuous"/>
      <protection/>
    </xf>
    <xf numFmtId="0" fontId="5" fillId="0" borderId="0" xfId="23" applyAlignment="1" quotePrefix="1">
      <alignment horizontal="left"/>
      <protection/>
    </xf>
    <xf numFmtId="174" fontId="5" fillId="0" borderId="0" xfId="18" applyNumberFormat="1" applyAlignment="1">
      <alignment/>
    </xf>
    <xf numFmtId="0" fontId="5" fillId="0" borderId="0" xfId="23" applyAlignment="1">
      <alignment horizontal="left"/>
      <protection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Alignment="1">
      <alignment/>
    </xf>
    <xf numFmtId="17" fontId="0" fillId="0" borderId="0" xfId="0" applyNumberFormat="1" applyAlignment="1">
      <alignment/>
    </xf>
    <xf numFmtId="173" fontId="0" fillId="0" borderId="0" xfId="16" applyNumberFormat="1" applyAlignment="1" applyProtection="1">
      <alignment/>
      <protection locked="0"/>
    </xf>
    <xf numFmtId="173" fontId="0" fillId="0" borderId="0" xfId="16" applyNumberFormat="1" applyAlignment="1">
      <alignment/>
    </xf>
    <xf numFmtId="1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2" fontId="5" fillId="0" borderId="0" xfId="21" applyNumberFormat="1" applyFont="1">
      <alignment/>
      <protection/>
    </xf>
    <xf numFmtId="175" fontId="5" fillId="0" borderId="0" xfId="16" applyNumberFormat="1" applyFont="1" applyAlignment="1">
      <alignment/>
    </xf>
    <xf numFmtId="172" fontId="9" fillId="0" borderId="0" xfId="0" applyNumberFormat="1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167" fontId="0" fillId="0" borderId="0" xfId="20" applyNumberFormat="1" applyAlignment="1">
      <alignment/>
    </xf>
    <xf numFmtId="1" fontId="1" fillId="0" borderId="0" xfId="0" applyNumberFormat="1" applyFont="1" applyAlignment="1">
      <alignment/>
    </xf>
    <xf numFmtId="167" fontId="1" fillId="0" borderId="0" xfId="20" applyNumberFormat="1" applyFont="1" applyAlignment="1">
      <alignment/>
    </xf>
    <xf numFmtId="2" fontId="0" fillId="0" borderId="0" xfId="0" applyNumberFormat="1" applyAlignment="1">
      <alignment/>
    </xf>
    <xf numFmtId="0" fontId="17" fillId="0" borderId="0" xfId="24">
      <alignment/>
      <protection/>
    </xf>
    <xf numFmtId="14" fontId="17" fillId="0" borderId="0" xfId="24" applyNumberFormat="1">
      <alignment/>
      <protection/>
    </xf>
    <xf numFmtId="170" fontId="17" fillId="0" borderId="0" xfId="24" applyNumberFormat="1">
      <alignment/>
      <protection/>
    </xf>
    <xf numFmtId="0" fontId="17" fillId="0" borderId="0" xfId="24" applyFont="1">
      <alignment/>
      <protection/>
    </xf>
    <xf numFmtId="0" fontId="10" fillId="0" borderId="0" xfId="24" applyFont="1">
      <alignment/>
      <protection/>
    </xf>
    <xf numFmtId="167" fontId="17" fillId="0" borderId="0" xfId="20" applyNumberFormat="1" applyAlignment="1">
      <alignment/>
    </xf>
    <xf numFmtId="2" fontId="17" fillId="0" borderId="0" xfId="24" applyNumberFormat="1">
      <alignment/>
      <protection/>
    </xf>
    <xf numFmtId="171" fontId="17" fillId="0" borderId="0" xfId="24" applyNumberFormat="1">
      <alignment/>
      <protection/>
    </xf>
    <xf numFmtId="9" fontId="17" fillId="0" borderId="0" xfId="20" applyAlignment="1">
      <alignment/>
    </xf>
    <xf numFmtId="167" fontId="17" fillId="0" borderId="0" xfId="20" applyNumberFormat="1" applyFont="1" applyAlignment="1">
      <alignment horizontal="right"/>
    </xf>
    <xf numFmtId="0" fontId="17" fillId="0" borderId="0" xfId="24" applyFont="1" applyAlignment="1">
      <alignment horizontal="right"/>
      <protection/>
    </xf>
    <xf numFmtId="9" fontId="5" fillId="0" borderId="0" xfId="20" applyFont="1" applyAlignment="1">
      <alignment/>
    </xf>
    <xf numFmtId="176" fontId="0" fillId="0" borderId="0" xfId="0" applyNumberFormat="1" applyAlignment="1" applyProtection="1">
      <alignment/>
      <protection locked="0"/>
    </xf>
    <xf numFmtId="172" fontId="17" fillId="0" borderId="0" xfId="24" applyNumberFormat="1">
      <alignment/>
      <protection/>
    </xf>
    <xf numFmtId="0" fontId="17" fillId="0" borderId="0" xfId="24" applyFill="1">
      <alignment/>
      <protection/>
    </xf>
    <xf numFmtId="14" fontId="17" fillId="0" borderId="0" xfId="24" applyNumberFormat="1" applyFont="1">
      <alignment/>
      <protection/>
    </xf>
    <xf numFmtId="172" fontId="5" fillId="0" borderId="0" xfId="24" applyNumberFormat="1" applyFont="1">
      <alignment/>
      <protection/>
    </xf>
    <xf numFmtId="170" fontId="17" fillId="0" borderId="0" xfId="24" applyNumberFormat="1" applyFont="1">
      <alignment/>
      <protection/>
    </xf>
    <xf numFmtId="1" fontId="17" fillId="0" borderId="0" xfId="24" applyNumberFormat="1">
      <alignment/>
      <protection/>
    </xf>
    <xf numFmtId="1" fontId="17" fillId="0" borderId="0" xfId="24" applyNumberFormat="1" applyFont="1" quotePrefix="1">
      <alignment/>
      <protection/>
    </xf>
    <xf numFmtId="170" fontId="21" fillId="0" borderId="0" xfId="0" applyNumberFormat="1" applyFont="1" applyAlignment="1">
      <alignment/>
    </xf>
    <xf numFmtId="2" fontId="17" fillId="0" borderId="0" xfId="24" applyNumberFormat="1" applyFont="1">
      <alignment/>
      <protection/>
    </xf>
    <xf numFmtId="3" fontId="17" fillId="0" borderId="0" xfId="24" applyNumberFormat="1" applyFont="1">
      <alignment/>
      <protection/>
    </xf>
    <xf numFmtId="3" fontId="17" fillId="0" borderId="0" xfId="0" applyNumberFormat="1" applyFont="1" applyAlignment="1">
      <alignment/>
    </xf>
    <xf numFmtId="0" fontId="22" fillId="0" borderId="0" xfId="19" applyAlignment="1">
      <alignment/>
    </xf>
    <xf numFmtId="179" fontId="17" fillId="0" borderId="0" xfId="24" applyNumberFormat="1" applyAlignment="1">
      <alignment horizontal="left"/>
      <protection/>
    </xf>
    <xf numFmtId="170" fontId="17" fillId="0" borderId="0" xfId="24" applyNumberFormat="1" applyFont="1" quotePrefix="1">
      <alignment/>
      <protection/>
    </xf>
    <xf numFmtId="49" fontId="0" fillId="0" borderId="0" xfId="0" applyNumberFormat="1" applyAlignment="1" quotePrefix="1">
      <alignment/>
    </xf>
  </cellXfs>
  <cellStyles count="13">
    <cellStyle name="Normal" xfId="0"/>
    <cellStyle name="Followed Hyperlink" xfId="15"/>
    <cellStyle name="Comma" xfId="16"/>
    <cellStyle name="Comma [0]" xfId="17"/>
    <cellStyle name="Dezimal_KOF90" xfId="18"/>
    <cellStyle name="Hyperlink" xfId="19"/>
    <cellStyle name="Percent" xfId="20"/>
    <cellStyle name="Standard_Ener2010" xfId="21"/>
    <cellStyle name="Standard_Ener2010_1" xfId="22"/>
    <cellStyle name="Standard_KOF90" xfId="23"/>
    <cellStyle name="Standard_Mappe1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chartsheet" Target="chartsheets/sheet3.xml" /><Relationship Id="rId14" Type="http://schemas.openxmlformats.org/officeDocument/2006/relationships/worksheet" Target="worksheets/sheet11.xml" /><Relationship Id="rId15" Type="http://schemas.openxmlformats.org/officeDocument/2006/relationships/worksheet" Target="worksheets/sheet12.xml" /><Relationship Id="rId16" Type="http://schemas.openxmlformats.org/officeDocument/2006/relationships/chartsheet" Target="chartsheets/sheet4.xml" /><Relationship Id="rId17" Type="http://schemas.openxmlformats.org/officeDocument/2006/relationships/chartsheet" Target="chartsheets/sheet5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1075"/>
          <c:w val="0.986"/>
          <c:h val="0.97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Energ85!$A$4</c:f>
              <c:strCache>
                <c:ptCount val="1"/>
                <c:pt idx="0">
                  <c:v>Elektrizität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Energ85!$B$3:$AQ$3</c:f>
              <c:strCache>
                <c:ptCount val="42"/>
                <c:pt idx="0">
                  <c:v> 1 PrimSekt</c:v>
                </c:pt>
                <c:pt idx="1">
                  <c:v> 2 Elektrizit</c:v>
                </c:pt>
                <c:pt idx="2">
                  <c:v> 3 Gas</c:v>
                </c:pt>
                <c:pt idx="3">
                  <c:v> 4 Wasser</c:v>
                </c:pt>
                <c:pt idx="4">
                  <c:v> 5 Oel</c:v>
                </c:pt>
                <c:pt idx="5">
                  <c:v> 6 Nahrmit</c:v>
                </c:pt>
                <c:pt idx="6">
                  <c:v> 7 Getränk</c:v>
                </c:pt>
                <c:pt idx="7">
                  <c:v> 8 Tabak</c:v>
                </c:pt>
                <c:pt idx="8">
                  <c:v> 9 Textil</c:v>
                </c:pt>
                <c:pt idx="9">
                  <c:v>10 Bekl</c:v>
                </c:pt>
                <c:pt idx="10">
                  <c:v>11 Holzb</c:v>
                </c:pt>
                <c:pt idx="11">
                  <c:v>12 AnHolz</c:v>
                </c:pt>
                <c:pt idx="12">
                  <c:v>13 Papier</c:v>
                </c:pt>
                <c:pt idx="13">
                  <c:v>14 GraphG</c:v>
                </c:pt>
                <c:pt idx="14">
                  <c:v>15 LederS</c:v>
                </c:pt>
                <c:pt idx="15">
                  <c:v>16 Chemie</c:v>
                </c:pt>
                <c:pt idx="16">
                  <c:v>17 KunstK</c:v>
                </c:pt>
                <c:pt idx="17">
                  <c:v>18 SteineEB</c:v>
                </c:pt>
                <c:pt idx="18">
                  <c:v>19 NE-Met</c:v>
                </c:pt>
                <c:pt idx="19">
                  <c:v>20 Eisenm</c:v>
                </c:pt>
                <c:pt idx="20">
                  <c:v>21 MaschF</c:v>
                </c:pt>
                <c:pt idx="21">
                  <c:v>22 ElektrUO</c:v>
                </c:pt>
                <c:pt idx="22">
                  <c:v>23 Sonst Ind</c:v>
                </c:pt>
                <c:pt idx="23">
                  <c:v>24 BauhptG</c:v>
                </c:pt>
                <c:pt idx="24">
                  <c:v>25 Ausbaug</c:v>
                </c:pt>
                <c:pt idx="25">
                  <c:v>26 Grossha</c:v>
                </c:pt>
                <c:pt idx="26">
                  <c:v>27 Detailha</c:v>
                </c:pt>
                <c:pt idx="27">
                  <c:v>28 Gastgew</c:v>
                </c:pt>
                <c:pt idx="28">
                  <c:v>29 BahnSch</c:v>
                </c:pt>
                <c:pt idx="29">
                  <c:v>30 OevAgg</c:v>
                </c:pt>
                <c:pt idx="30">
                  <c:v>31 Strasstr</c:v>
                </c:pt>
                <c:pt idx="31">
                  <c:v>32 LuftRohr</c:v>
                </c:pt>
                <c:pt idx="32">
                  <c:v>33 PTTNa</c:v>
                </c:pt>
                <c:pt idx="33">
                  <c:v>34 Banken</c:v>
                </c:pt>
                <c:pt idx="34">
                  <c:v>35 Versich</c:v>
                </c:pt>
                <c:pt idx="35">
                  <c:v>36 Immob</c:v>
                </c:pt>
                <c:pt idx="36">
                  <c:v>37 LeasBer</c:v>
                </c:pt>
                <c:pt idx="37">
                  <c:v>38 UnterWi</c:v>
                </c:pt>
                <c:pt idx="38">
                  <c:v>39 Gesund</c:v>
                </c:pt>
                <c:pt idx="39">
                  <c:v>40 NmDien</c:v>
                </c:pt>
                <c:pt idx="40">
                  <c:v>41 Staat</c:v>
                </c:pt>
                <c:pt idx="41">
                  <c:v>42 Sozver</c:v>
                </c:pt>
              </c:strCache>
            </c:strRef>
          </c:cat>
          <c:val>
            <c:numRef>
              <c:f>Energ85!$B$4:$AQ$4</c:f>
              <c:numCache>
                <c:ptCount val="42"/>
                <c:pt idx="0">
                  <c:v>0.011108007550016352</c:v>
                </c:pt>
                <c:pt idx="1">
                  <c:v>0.12568664671294696</c:v>
                </c:pt>
                <c:pt idx="2">
                  <c:v>0.1358812444209343</c:v>
                </c:pt>
                <c:pt idx="3">
                  <c:v>0.21339351818681185</c:v>
                </c:pt>
                <c:pt idx="4">
                  <c:v>0.004407925707193908</c:v>
                </c:pt>
                <c:pt idx="5">
                  <c:v>0.005637970330680951</c:v>
                </c:pt>
                <c:pt idx="6">
                  <c:v>0.026529173276925788</c:v>
                </c:pt>
                <c:pt idx="7">
                  <c:v>0.0017513646049213344</c:v>
                </c:pt>
                <c:pt idx="8">
                  <c:v>0.02281706604324956</c:v>
                </c:pt>
                <c:pt idx="9">
                  <c:v>0.0009232238552554783</c:v>
                </c:pt>
                <c:pt idx="10">
                  <c:v>0.0006854949273375376</c:v>
                </c:pt>
                <c:pt idx="11">
                  <c:v>0.0016506648090377687</c:v>
                </c:pt>
                <c:pt idx="12">
                  <c:v>0.01874062310817095</c:v>
                </c:pt>
                <c:pt idx="13">
                  <c:v>0.0027487630566245184</c:v>
                </c:pt>
                <c:pt idx="14">
                  <c:v>0.0019051247856734612</c:v>
                </c:pt>
                <c:pt idx="15">
                  <c:v>0.01203003347326762</c:v>
                </c:pt>
                <c:pt idx="16">
                  <c:v>0.011830468241510014</c:v>
                </c:pt>
                <c:pt idx="17">
                  <c:v>0.04544102985675056</c:v>
                </c:pt>
                <c:pt idx="18">
                  <c:v>0.02959496313255446</c:v>
                </c:pt>
                <c:pt idx="19">
                  <c:v>0.009326276299597367</c:v>
                </c:pt>
                <c:pt idx="20">
                  <c:v>0.005192653078518281</c:v>
                </c:pt>
                <c:pt idx="21">
                  <c:v>0.000354083825804921</c:v>
                </c:pt>
                <c:pt idx="22">
                  <c:v>0.000463517323959983</c:v>
                </c:pt>
                <c:pt idx="23">
                  <c:v>0.003704213224092163</c:v>
                </c:pt>
                <c:pt idx="24">
                  <c:v>0.00022015601723087764</c:v>
                </c:pt>
                <c:pt idx="25">
                  <c:v>0.002591549295774648</c:v>
                </c:pt>
                <c:pt idx="26">
                  <c:v>0.011055946529261874</c:v>
                </c:pt>
                <c:pt idx="27">
                  <c:v>0.014169730056565003</c:v>
                </c:pt>
                <c:pt idx="28">
                  <c:v>0.036767569118521096</c:v>
                </c:pt>
                <c:pt idx="29">
                  <c:v>0.031070195627157658</c:v>
                </c:pt>
                <c:pt idx="30">
                  <c:v>0.0004975966083815173</c:v>
                </c:pt>
                <c:pt idx="31">
                  <c:v>0.00258605702364395</c:v>
                </c:pt>
                <c:pt idx="32">
                  <c:v>0.004789272030651341</c:v>
                </c:pt>
                <c:pt idx="33">
                  <c:v>0.002577545233173616</c:v>
                </c:pt>
                <c:pt idx="34">
                  <c:v>0.004301394245031147</c:v>
                </c:pt>
                <c:pt idx="35">
                  <c:v>0.0005364135390777264</c:v>
                </c:pt>
                <c:pt idx="36">
                  <c:v>0.0029742568413701357</c:v>
                </c:pt>
                <c:pt idx="37">
                  <c:v>0.016734019679045295</c:v>
                </c:pt>
                <c:pt idx="38">
                  <c:v>0.009364619266861546</c:v>
                </c:pt>
                <c:pt idx="39">
                  <c:v>0.008464699748512544</c:v>
                </c:pt>
                <c:pt idx="40">
                  <c:v>0.0018855405836691174</c:v>
                </c:pt>
                <c:pt idx="41">
                  <c:v>0.0011849745230477545</c:v>
                </c:pt>
              </c:numCache>
            </c:numRef>
          </c:val>
        </c:ser>
        <c:ser>
          <c:idx val="1"/>
          <c:order val="1"/>
          <c:tx>
            <c:strRef>
              <c:f>Energ85!$A$5</c:f>
              <c:strCache>
                <c:ptCount val="1"/>
                <c:pt idx="0">
                  <c:v>Gas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Energ85!$B$3:$AQ$3</c:f>
              <c:strCache>
                <c:ptCount val="42"/>
                <c:pt idx="0">
                  <c:v> 1 PrimSekt</c:v>
                </c:pt>
                <c:pt idx="1">
                  <c:v> 2 Elektrizit</c:v>
                </c:pt>
                <c:pt idx="2">
                  <c:v> 3 Gas</c:v>
                </c:pt>
                <c:pt idx="3">
                  <c:v> 4 Wasser</c:v>
                </c:pt>
                <c:pt idx="4">
                  <c:v> 5 Oel</c:v>
                </c:pt>
                <c:pt idx="5">
                  <c:v> 6 Nahrmit</c:v>
                </c:pt>
                <c:pt idx="6">
                  <c:v> 7 Getränk</c:v>
                </c:pt>
                <c:pt idx="7">
                  <c:v> 8 Tabak</c:v>
                </c:pt>
                <c:pt idx="8">
                  <c:v> 9 Textil</c:v>
                </c:pt>
                <c:pt idx="9">
                  <c:v>10 Bekl</c:v>
                </c:pt>
                <c:pt idx="10">
                  <c:v>11 Holzb</c:v>
                </c:pt>
                <c:pt idx="11">
                  <c:v>12 AnHolz</c:v>
                </c:pt>
                <c:pt idx="12">
                  <c:v>13 Papier</c:v>
                </c:pt>
                <c:pt idx="13">
                  <c:v>14 GraphG</c:v>
                </c:pt>
                <c:pt idx="14">
                  <c:v>15 LederS</c:v>
                </c:pt>
                <c:pt idx="15">
                  <c:v>16 Chemie</c:v>
                </c:pt>
                <c:pt idx="16">
                  <c:v>17 KunstK</c:v>
                </c:pt>
                <c:pt idx="17">
                  <c:v>18 SteineEB</c:v>
                </c:pt>
                <c:pt idx="18">
                  <c:v>19 NE-Met</c:v>
                </c:pt>
                <c:pt idx="19">
                  <c:v>20 Eisenm</c:v>
                </c:pt>
                <c:pt idx="20">
                  <c:v>21 MaschF</c:v>
                </c:pt>
                <c:pt idx="21">
                  <c:v>22 ElektrUO</c:v>
                </c:pt>
                <c:pt idx="22">
                  <c:v>23 Sonst Ind</c:v>
                </c:pt>
                <c:pt idx="23">
                  <c:v>24 BauhptG</c:v>
                </c:pt>
                <c:pt idx="24">
                  <c:v>25 Ausbaug</c:v>
                </c:pt>
                <c:pt idx="25">
                  <c:v>26 Grossha</c:v>
                </c:pt>
                <c:pt idx="26">
                  <c:v>27 Detailha</c:v>
                </c:pt>
                <c:pt idx="27">
                  <c:v>28 Gastgew</c:v>
                </c:pt>
                <c:pt idx="28">
                  <c:v>29 BahnSch</c:v>
                </c:pt>
                <c:pt idx="29">
                  <c:v>30 OevAgg</c:v>
                </c:pt>
                <c:pt idx="30">
                  <c:v>31 Strasstr</c:v>
                </c:pt>
                <c:pt idx="31">
                  <c:v>32 LuftRohr</c:v>
                </c:pt>
                <c:pt idx="32">
                  <c:v>33 PTTNa</c:v>
                </c:pt>
                <c:pt idx="33">
                  <c:v>34 Banken</c:v>
                </c:pt>
                <c:pt idx="34">
                  <c:v>35 Versich</c:v>
                </c:pt>
                <c:pt idx="35">
                  <c:v>36 Immob</c:v>
                </c:pt>
                <c:pt idx="36">
                  <c:v>37 LeasBer</c:v>
                </c:pt>
                <c:pt idx="37">
                  <c:v>38 UnterWi</c:v>
                </c:pt>
                <c:pt idx="38">
                  <c:v>39 Gesund</c:v>
                </c:pt>
                <c:pt idx="39">
                  <c:v>40 NmDien</c:v>
                </c:pt>
                <c:pt idx="40">
                  <c:v>41 Staat</c:v>
                </c:pt>
                <c:pt idx="41">
                  <c:v>42 Sozver</c:v>
                </c:pt>
              </c:strCache>
            </c:strRef>
          </c:cat>
          <c:val>
            <c:numRef>
              <c:f>Energ85!$B$5:$AQ$5</c:f>
              <c:numCache>
                <c:ptCount val="42"/>
                <c:pt idx="0">
                  <c:v>0.0003688034127278156</c:v>
                </c:pt>
                <c:pt idx="1">
                  <c:v>0.0040143470694449365</c:v>
                </c:pt>
                <c:pt idx="2">
                  <c:v>0.33270517186277426</c:v>
                </c:pt>
                <c:pt idx="3">
                  <c:v>0</c:v>
                </c:pt>
                <c:pt idx="4">
                  <c:v>0.0009842940899559209</c:v>
                </c:pt>
                <c:pt idx="5">
                  <c:v>0.0014744691910912064</c:v>
                </c:pt>
                <c:pt idx="6">
                  <c:v>0.003481403137669663</c:v>
                </c:pt>
                <c:pt idx="7">
                  <c:v>0.0004378411512303336</c:v>
                </c:pt>
                <c:pt idx="8">
                  <c:v>0.0009117475160724723</c:v>
                </c:pt>
                <c:pt idx="9">
                  <c:v>0.00012734122141454875</c:v>
                </c:pt>
                <c:pt idx="10">
                  <c:v>0.001508088840142583</c:v>
                </c:pt>
                <c:pt idx="11">
                  <c:v>0.00010600599691068238</c:v>
                </c:pt>
                <c:pt idx="12">
                  <c:v>0.004553550277687605</c:v>
                </c:pt>
                <c:pt idx="13">
                  <c:v>0.00011951143724454428</c:v>
                </c:pt>
                <c:pt idx="14">
                  <c:v>0.0002857687178510192</c:v>
                </c:pt>
                <c:pt idx="15">
                  <c:v>0.0035091450446618467</c:v>
                </c:pt>
                <c:pt idx="16">
                  <c:v>0.0036754852789157326</c:v>
                </c:pt>
                <c:pt idx="17">
                  <c:v>0.008395571336120195</c:v>
                </c:pt>
                <c:pt idx="18">
                  <c:v>0.002659843102925827</c:v>
                </c:pt>
                <c:pt idx="19">
                  <c:v>0.0009247422310899773</c:v>
                </c:pt>
                <c:pt idx="20">
                  <c:v>0.0005508072621819028</c:v>
                </c:pt>
                <c:pt idx="21">
                  <c:v>0.0006267283716747102</c:v>
                </c:pt>
                <c:pt idx="22">
                  <c:v>0.00039398972536598556</c:v>
                </c:pt>
                <c:pt idx="23">
                  <c:v>0.00039742590299750855</c:v>
                </c:pt>
                <c:pt idx="24">
                  <c:v>2.9354135630783687E-05</c:v>
                </c:pt>
                <c:pt idx="25">
                  <c:v>3.885381253035454E-05</c:v>
                </c:pt>
                <c:pt idx="26">
                  <c:v>0.00021609149578533384</c:v>
                </c:pt>
                <c:pt idx="27">
                  <c:v>0.0015510465182510859</c:v>
                </c:pt>
                <c:pt idx="28">
                  <c:v>0.003689053757711147</c:v>
                </c:pt>
                <c:pt idx="29">
                  <c:v>0.003452243958573073</c:v>
                </c:pt>
                <c:pt idx="30">
                  <c:v>0.0008459142342485794</c:v>
                </c:pt>
                <c:pt idx="31">
                  <c:v>0.0006519471488178024</c:v>
                </c:pt>
                <c:pt idx="32">
                  <c:v>0.0005971040453799074</c:v>
                </c:pt>
                <c:pt idx="33">
                  <c:v>4.451718882855985E-05</c:v>
                </c:pt>
                <c:pt idx="34">
                  <c:v>0.00013483994498530243</c:v>
                </c:pt>
                <c:pt idx="35">
                  <c:v>4.8764867188884215E-05</c:v>
                </c:pt>
                <c:pt idx="36">
                  <c:v>0.00026652431435654467</c:v>
                </c:pt>
                <c:pt idx="37">
                  <c:v>0.006179084852750921</c:v>
                </c:pt>
                <c:pt idx="38">
                  <c:v>0.00031852446485923627</c:v>
                </c:pt>
                <c:pt idx="39">
                  <c:v>0.0004447034288167822</c:v>
                </c:pt>
                <c:pt idx="40">
                  <c:v>0.0008677049109732378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Energ85!$A$6</c:f>
              <c:strCache>
                <c:ptCount val="1"/>
                <c:pt idx="0">
                  <c:v>Mineralöl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Energ85!$B$3:$AQ$3</c:f>
              <c:strCache>
                <c:ptCount val="42"/>
                <c:pt idx="0">
                  <c:v> 1 PrimSekt</c:v>
                </c:pt>
                <c:pt idx="1">
                  <c:v> 2 Elektrizit</c:v>
                </c:pt>
                <c:pt idx="2">
                  <c:v> 3 Gas</c:v>
                </c:pt>
                <c:pt idx="3">
                  <c:v> 4 Wasser</c:v>
                </c:pt>
                <c:pt idx="4">
                  <c:v> 5 Oel</c:v>
                </c:pt>
                <c:pt idx="5">
                  <c:v> 6 Nahrmit</c:v>
                </c:pt>
                <c:pt idx="6">
                  <c:v> 7 Getränk</c:v>
                </c:pt>
                <c:pt idx="7">
                  <c:v> 8 Tabak</c:v>
                </c:pt>
                <c:pt idx="8">
                  <c:v> 9 Textil</c:v>
                </c:pt>
                <c:pt idx="9">
                  <c:v>10 Bekl</c:v>
                </c:pt>
                <c:pt idx="10">
                  <c:v>11 Holzb</c:v>
                </c:pt>
                <c:pt idx="11">
                  <c:v>12 AnHolz</c:v>
                </c:pt>
                <c:pt idx="12">
                  <c:v>13 Papier</c:v>
                </c:pt>
                <c:pt idx="13">
                  <c:v>14 GraphG</c:v>
                </c:pt>
                <c:pt idx="14">
                  <c:v>15 LederS</c:v>
                </c:pt>
                <c:pt idx="15">
                  <c:v>16 Chemie</c:v>
                </c:pt>
                <c:pt idx="16">
                  <c:v>17 KunstK</c:v>
                </c:pt>
                <c:pt idx="17">
                  <c:v>18 SteineEB</c:v>
                </c:pt>
                <c:pt idx="18">
                  <c:v>19 NE-Met</c:v>
                </c:pt>
                <c:pt idx="19">
                  <c:v>20 Eisenm</c:v>
                </c:pt>
                <c:pt idx="20">
                  <c:v>21 MaschF</c:v>
                </c:pt>
                <c:pt idx="21">
                  <c:v>22 ElektrUO</c:v>
                </c:pt>
                <c:pt idx="22">
                  <c:v>23 Sonst Ind</c:v>
                </c:pt>
                <c:pt idx="23">
                  <c:v>24 BauhptG</c:v>
                </c:pt>
                <c:pt idx="24">
                  <c:v>25 Ausbaug</c:v>
                </c:pt>
                <c:pt idx="25">
                  <c:v>26 Grossha</c:v>
                </c:pt>
                <c:pt idx="26">
                  <c:v>27 Detailha</c:v>
                </c:pt>
                <c:pt idx="27">
                  <c:v>28 Gastgew</c:v>
                </c:pt>
                <c:pt idx="28">
                  <c:v>29 BahnSch</c:v>
                </c:pt>
                <c:pt idx="29">
                  <c:v>30 OevAgg</c:v>
                </c:pt>
                <c:pt idx="30">
                  <c:v>31 Strasstr</c:v>
                </c:pt>
                <c:pt idx="31">
                  <c:v>32 LuftRohr</c:v>
                </c:pt>
                <c:pt idx="32">
                  <c:v>33 PTTNa</c:v>
                </c:pt>
                <c:pt idx="33">
                  <c:v>34 Banken</c:v>
                </c:pt>
                <c:pt idx="34">
                  <c:v>35 Versich</c:v>
                </c:pt>
                <c:pt idx="35">
                  <c:v>36 Immob</c:v>
                </c:pt>
                <c:pt idx="36">
                  <c:v>37 LeasBer</c:v>
                </c:pt>
                <c:pt idx="37">
                  <c:v>38 UnterWi</c:v>
                </c:pt>
                <c:pt idx="38">
                  <c:v>39 Gesund</c:v>
                </c:pt>
                <c:pt idx="39">
                  <c:v>40 NmDien</c:v>
                </c:pt>
                <c:pt idx="40">
                  <c:v>41 Staat</c:v>
                </c:pt>
                <c:pt idx="41">
                  <c:v>42 Sozver</c:v>
                </c:pt>
              </c:strCache>
            </c:strRef>
          </c:cat>
          <c:val>
            <c:numRef>
              <c:f>Energ85!$B$6:$AQ$6</c:f>
              <c:numCache>
                <c:ptCount val="42"/>
                <c:pt idx="0">
                  <c:v>0.008937837808454715</c:v>
                </c:pt>
                <c:pt idx="1">
                  <c:v>0.0030883782745933226</c:v>
                </c:pt>
                <c:pt idx="2">
                  <c:v>0.006502022239120134</c:v>
                </c:pt>
                <c:pt idx="3">
                  <c:v>0.0028659454037400583</c:v>
                </c:pt>
                <c:pt idx="4">
                  <c:v>0.7403175418324991</c:v>
                </c:pt>
                <c:pt idx="5">
                  <c:v>0.005523011715782315</c:v>
                </c:pt>
                <c:pt idx="6">
                  <c:v>0.005640754450907809</c:v>
                </c:pt>
                <c:pt idx="7">
                  <c:v>0.0012697393385679675</c:v>
                </c:pt>
                <c:pt idx="8">
                  <c:v>0.003646990064289889</c:v>
                </c:pt>
                <c:pt idx="9">
                  <c:v>0.0015280946569745848</c:v>
                </c:pt>
                <c:pt idx="10">
                  <c:v>0.010556621880998079</c:v>
                </c:pt>
                <c:pt idx="11">
                  <c:v>0.007526425780658449</c:v>
                </c:pt>
                <c:pt idx="12">
                  <c:v>0.018056274511524258</c:v>
                </c:pt>
                <c:pt idx="13">
                  <c:v>0.002497789038410975</c:v>
                </c:pt>
                <c:pt idx="14">
                  <c:v>0.002762430939226519</c:v>
                </c:pt>
                <c:pt idx="15">
                  <c:v>0.006666913246906959</c:v>
                </c:pt>
                <c:pt idx="16">
                  <c:v>0.0016941689957502206</c:v>
                </c:pt>
                <c:pt idx="17">
                  <c:v>0.05803438686093085</c:v>
                </c:pt>
                <c:pt idx="18">
                  <c:v>0.0032995522036295072</c:v>
                </c:pt>
                <c:pt idx="19">
                  <c:v>0.0037348116464951796</c:v>
                </c:pt>
                <c:pt idx="20">
                  <c:v>0.002563372258615779</c:v>
                </c:pt>
                <c:pt idx="21">
                  <c:v>0.004358771895658578</c:v>
                </c:pt>
                <c:pt idx="22">
                  <c:v>0.0018772451620379313</c:v>
                </c:pt>
                <c:pt idx="23">
                  <c:v>0.007174047069493488</c:v>
                </c:pt>
                <c:pt idx="24">
                  <c:v>0.00518100493883332</c:v>
                </c:pt>
                <c:pt idx="25">
                  <c:v>0.004965517241379311</c:v>
                </c:pt>
                <c:pt idx="26">
                  <c:v>0.014985283728133965</c:v>
                </c:pt>
                <c:pt idx="27">
                  <c:v>0.006585375471557576</c:v>
                </c:pt>
                <c:pt idx="28">
                  <c:v>0.005123685774598815</c:v>
                </c:pt>
                <c:pt idx="29">
                  <c:v>0.0425776754890679</c:v>
                </c:pt>
                <c:pt idx="30">
                  <c:v>0.158006827025467</c:v>
                </c:pt>
                <c:pt idx="31">
                  <c:v>0.02203581363004172</c:v>
                </c:pt>
                <c:pt idx="32">
                  <c:v>0.005933721450962831</c:v>
                </c:pt>
                <c:pt idx="33">
                  <c:v>0.0013355156648567957</c:v>
                </c:pt>
                <c:pt idx="34">
                  <c:v>0.0005258757854426795</c:v>
                </c:pt>
                <c:pt idx="35">
                  <c:v>0.00046814272501328845</c:v>
                </c:pt>
                <c:pt idx="36">
                  <c:v>0.005195292794341342</c:v>
                </c:pt>
                <c:pt idx="37">
                  <c:v>0.001755148615761935</c:v>
                </c:pt>
                <c:pt idx="38">
                  <c:v>0.00554232568855071</c:v>
                </c:pt>
                <c:pt idx="39">
                  <c:v>0.006624547629270687</c:v>
                </c:pt>
                <c:pt idx="40">
                  <c:v>0.006613387283341479</c:v>
                </c:pt>
                <c:pt idx="41">
                  <c:v>0.00035549235691432633</c:v>
                </c:pt>
              </c:numCache>
            </c:numRef>
          </c:val>
        </c:ser>
        <c:overlap val="100"/>
        <c:gapWidth val="50"/>
        <c:axId val="16532818"/>
        <c:axId val="14577635"/>
      </c:barChart>
      <c:catAx>
        <c:axId val="165328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780" b="0" i="0" u="none" baseline="0"/>
            </a:pPr>
          </a:p>
        </c:txPr>
        <c:crossAx val="14577635"/>
        <c:crosses val="autoZero"/>
        <c:auto val="0"/>
        <c:lblOffset val="100"/>
        <c:noMultiLvlLbl val="0"/>
      </c:catAx>
      <c:valAx>
        <c:axId val="14577635"/>
        <c:scaling>
          <c:orientation val="minMax"/>
          <c:max val="0.26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6532818"/>
        <c:crossesAt val="1"/>
        <c:crossBetween val="between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875"/>
          <c:y val="0.315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1075"/>
          <c:w val="0.986"/>
          <c:h val="0.97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Energ85!$A$14</c:f>
              <c:strCache>
                <c:ptCount val="1"/>
                <c:pt idx="0">
                  <c:v>Electricité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Energ85!$B$13:$AQ$13</c:f>
              <c:strCache>
                <c:ptCount val="42"/>
                <c:pt idx="0">
                  <c:v> 1 PrimSekt</c:v>
                </c:pt>
                <c:pt idx="1">
                  <c:v> 2 Elektrizit</c:v>
                </c:pt>
                <c:pt idx="2">
                  <c:v> 3 Gas</c:v>
                </c:pt>
                <c:pt idx="3">
                  <c:v> 4 Wasser</c:v>
                </c:pt>
                <c:pt idx="4">
                  <c:v> 5 Oel</c:v>
                </c:pt>
                <c:pt idx="5">
                  <c:v> 6 Nahrmit</c:v>
                </c:pt>
                <c:pt idx="6">
                  <c:v> 7 Getränk</c:v>
                </c:pt>
                <c:pt idx="7">
                  <c:v> 8 Tabak</c:v>
                </c:pt>
                <c:pt idx="8">
                  <c:v> 9 Textil</c:v>
                </c:pt>
                <c:pt idx="9">
                  <c:v>10 Bekl</c:v>
                </c:pt>
                <c:pt idx="10">
                  <c:v>11 Holzb</c:v>
                </c:pt>
                <c:pt idx="11">
                  <c:v>12 AnHolz</c:v>
                </c:pt>
                <c:pt idx="12">
                  <c:v>13 Papier</c:v>
                </c:pt>
                <c:pt idx="13">
                  <c:v>14 GraphG</c:v>
                </c:pt>
                <c:pt idx="14">
                  <c:v>15 LederS</c:v>
                </c:pt>
                <c:pt idx="15">
                  <c:v>16 Chemie</c:v>
                </c:pt>
                <c:pt idx="16">
                  <c:v>17 KunstK</c:v>
                </c:pt>
                <c:pt idx="17">
                  <c:v>18 SteineEB</c:v>
                </c:pt>
                <c:pt idx="18">
                  <c:v>19 NE-Met</c:v>
                </c:pt>
                <c:pt idx="19">
                  <c:v>20 Eisenm</c:v>
                </c:pt>
                <c:pt idx="20">
                  <c:v>21 MaschF</c:v>
                </c:pt>
                <c:pt idx="21">
                  <c:v>22 ElektrUO</c:v>
                </c:pt>
                <c:pt idx="22">
                  <c:v>23 Sonst Ind</c:v>
                </c:pt>
                <c:pt idx="23">
                  <c:v>24 BauhptG</c:v>
                </c:pt>
                <c:pt idx="24">
                  <c:v>25 Ausbaug</c:v>
                </c:pt>
                <c:pt idx="25">
                  <c:v>26 Grossha</c:v>
                </c:pt>
                <c:pt idx="26">
                  <c:v>27 Detailha</c:v>
                </c:pt>
                <c:pt idx="27">
                  <c:v>28 Gastgew</c:v>
                </c:pt>
                <c:pt idx="28">
                  <c:v>29 BahnSch</c:v>
                </c:pt>
                <c:pt idx="29">
                  <c:v>30 OevAgg</c:v>
                </c:pt>
                <c:pt idx="30">
                  <c:v>31 Strasstr</c:v>
                </c:pt>
                <c:pt idx="31">
                  <c:v>32 LuftRohr</c:v>
                </c:pt>
                <c:pt idx="32">
                  <c:v>33 PTTNa</c:v>
                </c:pt>
                <c:pt idx="33">
                  <c:v>34 Banken</c:v>
                </c:pt>
                <c:pt idx="34">
                  <c:v>35 Versich</c:v>
                </c:pt>
                <c:pt idx="35">
                  <c:v>36 Immob</c:v>
                </c:pt>
                <c:pt idx="36">
                  <c:v>37 LeasBer</c:v>
                </c:pt>
                <c:pt idx="37">
                  <c:v>38 UnterWi</c:v>
                </c:pt>
                <c:pt idx="38">
                  <c:v>39 Gesund</c:v>
                </c:pt>
                <c:pt idx="39">
                  <c:v>40 NmDien</c:v>
                </c:pt>
                <c:pt idx="40">
                  <c:v>41 Staat</c:v>
                </c:pt>
                <c:pt idx="41">
                  <c:v>42 Sozver</c:v>
                </c:pt>
              </c:strCache>
            </c:strRef>
          </c:cat>
          <c:val>
            <c:numRef>
              <c:f>Energ85!$B$14:$AQ$14</c:f>
              <c:numCache>
                <c:ptCount val="42"/>
                <c:pt idx="0">
                  <c:v>0.011108007550016352</c:v>
                </c:pt>
                <c:pt idx="1">
                  <c:v>0.12568664671294696</c:v>
                </c:pt>
                <c:pt idx="2">
                  <c:v>0.1358812444209343</c:v>
                </c:pt>
                <c:pt idx="3">
                  <c:v>0.21339351818681185</c:v>
                </c:pt>
                <c:pt idx="4">
                  <c:v>0.004407925707193908</c:v>
                </c:pt>
                <c:pt idx="5">
                  <c:v>0.005637970330680951</c:v>
                </c:pt>
                <c:pt idx="6">
                  <c:v>0.026529173276925788</c:v>
                </c:pt>
                <c:pt idx="7">
                  <c:v>0.0017513646049213344</c:v>
                </c:pt>
                <c:pt idx="8">
                  <c:v>0.02281706604324956</c:v>
                </c:pt>
                <c:pt idx="9">
                  <c:v>0.0009232238552554783</c:v>
                </c:pt>
                <c:pt idx="10">
                  <c:v>0.0006854949273375376</c:v>
                </c:pt>
                <c:pt idx="11">
                  <c:v>0.0016506648090377687</c:v>
                </c:pt>
                <c:pt idx="12">
                  <c:v>0.01874062310817095</c:v>
                </c:pt>
                <c:pt idx="13">
                  <c:v>0.0027487630566245184</c:v>
                </c:pt>
                <c:pt idx="14">
                  <c:v>0.0019051247856734612</c:v>
                </c:pt>
                <c:pt idx="15">
                  <c:v>0.01203003347326762</c:v>
                </c:pt>
                <c:pt idx="16">
                  <c:v>0.011830468241510014</c:v>
                </c:pt>
                <c:pt idx="17">
                  <c:v>0.04544102985675056</c:v>
                </c:pt>
                <c:pt idx="18">
                  <c:v>0.02959496313255446</c:v>
                </c:pt>
                <c:pt idx="19">
                  <c:v>0.009326276299597367</c:v>
                </c:pt>
                <c:pt idx="20">
                  <c:v>0.005192653078518281</c:v>
                </c:pt>
                <c:pt idx="21">
                  <c:v>0.000354083825804921</c:v>
                </c:pt>
                <c:pt idx="22">
                  <c:v>0.000463517323959983</c:v>
                </c:pt>
                <c:pt idx="23">
                  <c:v>0.003704213224092163</c:v>
                </c:pt>
                <c:pt idx="24">
                  <c:v>0.00022015601723087764</c:v>
                </c:pt>
                <c:pt idx="25">
                  <c:v>0.002591549295774648</c:v>
                </c:pt>
                <c:pt idx="26">
                  <c:v>0.011055946529261874</c:v>
                </c:pt>
                <c:pt idx="27">
                  <c:v>0.014169730056565003</c:v>
                </c:pt>
                <c:pt idx="28">
                  <c:v>0.036767569118521096</c:v>
                </c:pt>
                <c:pt idx="29">
                  <c:v>0.031070195627157658</c:v>
                </c:pt>
                <c:pt idx="30">
                  <c:v>0.0004975966083815173</c:v>
                </c:pt>
                <c:pt idx="31">
                  <c:v>0.00258605702364395</c:v>
                </c:pt>
                <c:pt idx="32">
                  <c:v>0.004789272030651341</c:v>
                </c:pt>
                <c:pt idx="33">
                  <c:v>0.002577545233173616</c:v>
                </c:pt>
                <c:pt idx="34">
                  <c:v>0.004301394245031147</c:v>
                </c:pt>
                <c:pt idx="35">
                  <c:v>0.0005364135390777264</c:v>
                </c:pt>
                <c:pt idx="36">
                  <c:v>0.0029742568413701357</c:v>
                </c:pt>
                <c:pt idx="37">
                  <c:v>0.016734019679045295</c:v>
                </c:pt>
                <c:pt idx="38">
                  <c:v>0.009364619266861546</c:v>
                </c:pt>
                <c:pt idx="39">
                  <c:v>0.008464699748512544</c:v>
                </c:pt>
                <c:pt idx="40">
                  <c:v>0.0018855405836691174</c:v>
                </c:pt>
                <c:pt idx="41">
                  <c:v>0.0011849745230477545</c:v>
                </c:pt>
              </c:numCache>
            </c:numRef>
          </c:val>
        </c:ser>
        <c:ser>
          <c:idx val="1"/>
          <c:order val="1"/>
          <c:tx>
            <c:strRef>
              <c:f>Energ85!$A$15</c:f>
              <c:strCache>
                <c:ptCount val="1"/>
                <c:pt idx="0">
                  <c:v>Gaz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Energ85!$B$13:$AQ$13</c:f>
              <c:strCache>
                <c:ptCount val="42"/>
                <c:pt idx="0">
                  <c:v> 1 PrimSekt</c:v>
                </c:pt>
                <c:pt idx="1">
                  <c:v> 2 Elektrizit</c:v>
                </c:pt>
                <c:pt idx="2">
                  <c:v> 3 Gas</c:v>
                </c:pt>
                <c:pt idx="3">
                  <c:v> 4 Wasser</c:v>
                </c:pt>
                <c:pt idx="4">
                  <c:v> 5 Oel</c:v>
                </c:pt>
                <c:pt idx="5">
                  <c:v> 6 Nahrmit</c:v>
                </c:pt>
                <c:pt idx="6">
                  <c:v> 7 Getränk</c:v>
                </c:pt>
                <c:pt idx="7">
                  <c:v> 8 Tabak</c:v>
                </c:pt>
                <c:pt idx="8">
                  <c:v> 9 Textil</c:v>
                </c:pt>
                <c:pt idx="9">
                  <c:v>10 Bekl</c:v>
                </c:pt>
                <c:pt idx="10">
                  <c:v>11 Holzb</c:v>
                </c:pt>
                <c:pt idx="11">
                  <c:v>12 AnHolz</c:v>
                </c:pt>
                <c:pt idx="12">
                  <c:v>13 Papier</c:v>
                </c:pt>
                <c:pt idx="13">
                  <c:v>14 GraphG</c:v>
                </c:pt>
                <c:pt idx="14">
                  <c:v>15 LederS</c:v>
                </c:pt>
                <c:pt idx="15">
                  <c:v>16 Chemie</c:v>
                </c:pt>
                <c:pt idx="16">
                  <c:v>17 KunstK</c:v>
                </c:pt>
                <c:pt idx="17">
                  <c:v>18 SteineEB</c:v>
                </c:pt>
                <c:pt idx="18">
                  <c:v>19 NE-Met</c:v>
                </c:pt>
                <c:pt idx="19">
                  <c:v>20 Eisenm</c:v>
                </c:pt>
                <c:pt idx="20">
                  <c:v>21 MaschF</c:v>
                </c:pt>
                <c:pt idx="21">
                  <c:v>22 ElektrUO</c:v>
                </c:pt>
                <c:pt idx="22">
                  <c:v>23 Sonst Ind</c:v>
                </c:pt>
                <c:pt idx="23">
                  <c:v>24 BauhptG</c:v>
                </c:pt>
                <c:pt idx="24">
                  <c:v>25 Ausbaug</c:v>
                </c:pt>
                <c:pt idx="25">
                  <c:v>26 Grossha</c:v>
                </c:pt>
                <c:pt idx="26">
                  <c:v>27 Detailha</c:v>
                </c:pt>
                <c:pt idx="27">
                  <c:v>28 Gastgew</c:v>
                </c:pt>
                <c:pt idx="28">
                  <c:v>29 BahnSch</c:v>
                </c:pt>
                <c:pt idx="29">
                  <c:v>30 OevAgg</c:v>
                </c:pt>
                <c:pt idx="30">
                  <c:v>31 Strasstr</c:v>
                </c:pt>
                <c:pt idx="31">
                  <c:v>32 LuftRohr</c:v>
                </c:pt>
                <c:pt idx="32">
                  <c:v>33 PTTNa</c:v>
                </c:pt>
                <c:pt idx="33">
                  <c:v>34 Banken</c:v>
                </c:pt>
                <c:pt idx="34">
                  <c:v>35 Versich</c:v>
                </c:pt>
                <c:pt idx="35">
                  <c:v>36 Immob</c:v>
                </c:pt>
                <c:pt idx="36">
                  <c:v>37 LeasBer</c:v>
                </c:pt>
                <c:pt idx="37">
                  <c:v>38 UnterWi</c:v>
                </c:pt>
                <c:pt idx="38">
                  <c:v>39 Gesund</c:v>
                </c:pt>
                <c:pt idx="39">
                  <c:v>40 NmDien</c:v>
                </c:pt>
                <c:pt idx="40">
                  <c:v>41 Staat</c:v>
                </c:pt>
                <c:pt idx="41">
                  <c:v>42 Sozver</c:v>
                </c:pt>
              </c:strCache>
            </c:strRef>
          </c:cat>
          <c:val>
            <c:numRef>
              <c:f>Energ85!$B$15:$AQ$15</c:f>
              <c:numCache>
                <c:ptCount val="42"/>
                <c:pt idx="0">
                  <c:v>0.0003688034127278156</c:v>
                </c:pt>
                <c:pt idx="1">
                  <c:v>0.0040143470694449365</c:v>
                </c:pt>
                <c:pt idx="2">
                  <c:v>0.33270517186277426</c:v>
                </c:pt>
                <c:pt idx="3">
                  <c:v>0</c:v>
                </c:pt>
                <c:pt idx="4">
                  <c:v>0.0009842940899559209</c:v>
                </c:pt>
                <c:pt idx="5">
                  <c:v>0.0014744691910912064</c:v>
                </c:pt>
                <c:pt idx="6">
                  <c:v>0.003481403137669663</c:v>
                </c:pt>
                <c:pt idx="7">
                  <c:v>0.0004378411512303336</c:v>
                </c:pt>
                <c:pt idx="8">
                  <c:v>0.0009117475160724723</c:v>
                </c:pt>
                <c:pt idx="9">
                  <c:v>0.00012734122141454875</c:v>
                </c:pt>
                <c:pt idx="10">
                  <c:v>0.001508088840142583</c:v>
                </c:pt>
                <c:pt idx="11">
                  <c:v>0.00010600599691068238</c:v>
                </c:pt>
                <c:pt idx="12">
                  <c:v>0.004553550277687605</c:v>
                </c:pt>
                <c:pt idx="13">
                  <c:v>0.00011951143724454428</c:v>
                </c:pt>
                <c:pt idx="14">
                  <c:v>0.0002857687178510192</c:v>
                </c:pt>
                <c:pt idx="15">
                  <c:v>0.0035091450446618467</c:v>
                </c:pt>
                <c:pt idx="16">
                  <c:v>0.0036754852789157326</c:v>
                </c:pt>
                <c:pt idx="17">
                  <c:v>0.008395571336120195</c:v>
                </c:pt>
                <c:pt idx="18">
                  <c:v>0.002659843102925827</c:v>
                </c:pt>
                <c:pt idx="19">
                  <c:v>0.0009247422310899773</c:v>
                </c:pt>
                <c:pt idx="20">
                  <c:v>0.0005508072621819028</c:v>
                </c:pt>
                <c:pt idx="21">
                  <c:v>0.0006267283716747102</c:v>
                </c:pt>
                <c:pt idx="22">
                  <c:v>0.00039398972536598556</c:v>
                </c:pt>
                <c:pt idx="23">
                  <c:v>0.00039742590299750855</c:v>
                </c:pt>
                <c:pt idx="24">
                  <c:v>2.9354135630783687E-05</c:v>
                </c:pt>
                <c:pt idx="25">
                  <c:v>3.885381253035454E-05</c:v>
                </c:pt>
                <c:pt idx="26">
                  <c:v>0.00021609149578533384</c:v>
                </c:pt>
                <c:pt idx="27">
                  <c:v>0.0015510465182510859</c:v>
                </c:pt>
                <c:pt idx="28">
                  <c:v>0.003689053757711147</c:v>
                </c:pt>
                <c:pt idx="29">
                  <c:v>0.003452243958573073</c:v>
                </c:pt>
                <c:pt idx="30">
                  <c:v>0.0008459142342485794</c:v>
                </c:pt>
                <c:pt idx="31">
                  <c:v>0.0006519471488178024</c:v>
                </c:pt>
                <c:pt idx="32">
                  <c:v>0.0005971040453799074</c:v>
                </c:pt>
                <c:pt idx="33">
                  <c:v>4.451718882855985E-05</c:v>
                </c:pt>
                <c:pt idx="34">
                  <c:v>0.00013483994498530243</c:v>
                </c:pt>
                <c:pt idx="35">
                  <c:v>4.8764867188884215E-05</c:v>
                </c:pt>
                <c:pt idx="36">
                  <c:v>0.00026652431435654467</c:v>
                </c:pt>
                <c:pt idx="37">
                  <c:v>0.006179084852750921</c:v>
                </c:pt>
                <c:pt idx="38">
                  <c:v>0.00031852446485923627</c:v>
                </c:pt>
                <c:pt idx="39">
                  <c:v>0.0004447034288167822</c:v>
                </c:pt>
                <c:pt idx="40">
                  <c:v>0.0008677049109732378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Energ85!$A$16</c:f>
              <c:strCache>
                <c:ptCount val="1"/>
                <c:pt idx="0">
                  <c:v>Pétrole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Energ85!$B$13:$AQ$13</c:f>
              <c:strCache>
                <c:ptCount val="42"/>
                <c:pt idx="0">
                  <c:v> 1 PrimSekt</c:v>
                </c:pt>
                <c:pt idx="1">
                  <c:v> 2 Elektrizit</c:v>
                </c:pt>
                <c:pt idx="2">
                  <c:v> 3 Gas</c:v>
                </c:pt>
                <c:pt idx="3">
                  <c:v> 4 Wasser</c:v>
                </c:pt>
                <c:pt idx="4">
                  <c:v> 5 Oel</c:v>
                </c:pt>
                <c:pt idx="5">
                  <c:v> 6 Nahrmit</c:v>
                </c:pt>
                <c:pt idx="6">
                  <c:v> 7 Getränk</c:v>
                </c:pt>
                <c:pt idx="7">
                  <c:v> 8 Tabak</c:v>
                </c:pt>
                <c:pt idx="8">
                  <c:v> 9 Textil</c:v>
                </c:pt>
                <c:pt idx="9">
                  <c:v>10 Bekl</c:v>
                </c:pt>
                <c:pt idx="10">
                  <c:v>11 Holzb</c:v>
                </c:pt>
                <c:pt idx="11">
                  <c:v>12 AnHolz</c:v>
                </c:pt>
                <c:pt idx="12">
                  <c:v>13 Papier</c:v>
                </c:pt>
                <c:pt idx="13">
                  <c:v>14 GraphG</c:v>
                </c:pt>
                <c:pt idx="14">
                  <c:v>15 LederS</c:v>
                </c:pt>
                <c:pt idx="15">
                  <c:v>16 Chemie</c:v>
                </c:pt>
                <c:pt idx="16">
                  <c:v>17 KunstK</c:v>
                </c:pt>
                <c:pt idx="17">
                  <c:v>18 SteineEB</c:v>
                </c:pt>
                <c:pt idx="18">
                  <c:v>19 NE-Met</c:v>
                </c:pt>
                <c:pt idx="19">
                  <c:v>20 Eisenm</c:v>
                </c:pt>
                <c:pt idx="20">
                  <c:v>21 MaschF</c:v>
                </c:pt>
                <c:pt idx="21">
                  <c:v>22 ElektrUO</c:v>
                </c:pt>
                <c:pt idx="22">
                  <c:v>23 Sonst Ind</c:v>
                </c:pt>
                <c:pt idx="23">
                  <c:v>24 BauhptG</c:v>
                </c:pt>
                <c:pt idx="24">
                  <c:v>25 Ausbaug</c:v>
                </c:pt>
                <c:pt idx="25">
                  <c:v>26 Grossha</c:v>
                </c:pt>
                <c:pt idx="26">
                  <c:v>27 Detailha</c:v>
                </c:pt>
                <c:pt idx="27">
                  <c:v>28 Gastgew</c:v>
                </c:pt>
                <c:pt idx="28">
                  <c:v>29 BahnSch</c:v>
                </c:pt>
                <c:pt idx="29">
                  <c:v>30 OevAgg</c:v>
                </c:pt>
                <c:pt idx="30">
                  <c:v>31 Strasstr</c:v>
                </c:pt>
                <c:pt idx="31">
                  <c:v>32 LuftRohr</c:v>
                </c:pt>
                <c:pt idx="32">
                  <c:v>33 PTTNa</c:v>
                </c:pt>
                <c:pt idx="33">
                  <c:v>34 Banken</c:v>
                </c:pt>
                <c:pt idx="34">
                  <c:v>35 Versich</c:v>
                </c:pt>
                <c:pt idx="35">
                  <c:v>36 Immob</c:v>
                </c:pt>
                <c:pt idx="36">
                  <c:v>37 LeasBer</c:v>
                </c:pt>
                <c:pt idx="37">
                  <c:v>38 UnterWi</c:v>
                </c:pt>
                <c:pt idx="38">
                  <c:v>39 Gesund</c:v>
                </c:pt>
                <c:pt idx="39">
                  <c:v>40 NmDien</c:v>
                </c:pt>
                <c:pt idx="40">
                  <c:v>41 Staat</c:v>
                </c:pt>
                <c:pt idx="41">
                  <c:v>42 Sozver</c:v>
                </c:pt>
              </c:strCache>
            </c:strRef>
          </c:cat>
          <c:val>
            <c:numRef>
              <c:f>Energ85!$B$16:$AQ$16</c:f>
              <c:numCache>
                <c:ptCount val="42"/>
                <c:pt idx="0">
                  <c:v>0.008937837808454715</c:v>
                </c:pt>
                <c:pt idx="1">
                  <c:v>0.0030883782745933226</c:v>
                </c:pt>
                <c:pt idx="2">
                  <c:v>0.006502022239120134</c:v>
                </c:pt>
                <c:pt idx="3">
                  <c:v>0.0028659454037400583</c:v>
                </c:pt>
                <c:pt idx="4">
                  <c:v>0.7403175418324991</c:v>
                </c:pt>
                <c:pt idx="5">
                  <c:v>0.005523011715782315</c:v>
                </c:pt>
                <c:pt idx="6">
                  <c:v>0.005640754450907809</c:v>
                </c:pt>
                <c:pt idx="7">
                  <c:v>0.0012697393385679675</c:v>
                </c:pt>
                <c:pt idx="8">
                  <c:v>0.003646990064289889</c:v>
                </c:pt>
                <c:pt idx="9">
                  <c:v>0.0015280946569745848</c:v>
                </c:pt>
                <c:pt idx="10">
                  <c:v>0.010556621880998079</c:v>
                </c:pt>
                <c:pt idx="11">
                  <c:v>0.007526425780658449</c:v>
                </c:pt>
                <c:pt idx="12">
                  <c:v>0.018056274511524258</c:v>
                </c:pt>
                <c:pt idx="13">
                  <c:v>0.002497789038410975</c:v>
                </c:pt>
                <c:pt idx="14">
                  <c:v>0.002762430939226519</c:v>
                </c:pt>
                <c:pt idx="15">
                  <c:v>0.006666913246906959</c:v>
                </c:pt>
                <c:pt idx="16">
                  <c:v>0.0016941689957502206</c:v>
                </c:pt>
                <c:pt idx="17">
                  <c:v>0.05803438686093085</c:v>
                </c:pt>
                <c:pt idx="18">
                  <c:v>0.0032995522036295072</c:v>
                </c:pt>
                <c:pt idx="19">
                  <c:v>0.0037348116464951796</c:v>
                </c:pt>
                <c:pt idx="20">
                  <c:v>0.002563372258615779</c:v>
                </c:pt>
                <c:pt idx="21">
                  <c:v>0.004358771895658578</c:v>
                </c:pt>
                <c:pt idx="22">
                  <c:v>0.0018772451620379313</c:v>
                </c:pt>
                <c:pt idx="23">
                  <c:v>0.007174047069493488</c:v>
                </c:pt>
                <c:pt idx="24">
                  <c:v>0.00518100493883332</c:v>
                </c:pt>
                <c:pt idx="25">
                  <c:v>0.004965517241379311</c:v>
                </c:pt>
                <c:pt idx="26">
                  <c:v>0.014985283728133965</c:v>
                </c:pt>
                <c:pt idx="27">
                  <c:v>0.006585375471557576</c:v>
                </c:pt>
                <c:pt idx="28">
                  <c:v>0.005123685774598815</c:v>
                </c:pt>
                <c:pt idx="29">
                  <c:v>0.0425776754890679</c:v>
                </c:pt>
                <c:pt idx="30">
                  <c:v>0.158006827025467</c:v>
                </c:pt>
                <c:pt idx="31">
                  <c:v>0.02203581363004172</c:v>
                </c:pt>
                <c:pt idx="32">
                  <c:v>0.005933721450962831</c:v>
                </c:pt>
                <c:pt idx="33">
                  <c:v>0.0013355156648567957</c:v>
                </c:pt>
                <c:pt idx="34">
                  <c:v>0.0005258757854426795</c:v>
                </c:pt>
                <c:pt idx="35">
                  <c:v>0.00046814272501328845</c:v>
                </c:pt>
                <c:pt idx="36">
                  <c:v>0.005195292794341342</c:v>
                </c:pt>
                <c:pt idx="37">
                  <c:v>0.001755148615761935</c:v>
                </c:pt>
                <c:pt idx="38">
                  <c:v>0.00554232568855071</c:v>
                </c:pt>
                <c:pt idx="39">
                  <c:v>0.006624547629270687</c:v>
                </c:pt>
                <c:pt idx="40">
                  <c:v>0.006613387283341479</c:v>
                </c:pt>
                <c:pt idx="41">
                  <c:v>0.00035549235691432633</c:v>
                </c:pt>
              </c:numCache>
            </c:numRef>
          </c:val>
        </c:ser>
        <c:overlap val="100"/>
        <c:axId val="64089852"/>
        <c:axId val="39937757"/>
      </c:barChart>
      <c:catAx>
        <c:axId val="640898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780" b="0" i="0" u="none" baseline="0"/>
            </a:pPr>
          </a:p>
        </c:txPr>
        <c:crossAx val="39937757"/>
        <c:crosses val="autoZero"/>
        <c:auto val="0"/>
        <c:lblOffset val="100"/>
        <c:noMultiLvlLbl val="0"/>
      </c:catAx>
      <c:valAx>
        <c:axId val="39937757"/>
        <c:scaling>
          <c:orientation val="minMax"/>
          <c:max val="0.25"/>
        </c:scaling>
        <c:axPos val="l"/>
        <c:delete val="0"/>
        <c:numFmt formatCode="General" sourceLinked="1"/>
        <c:majorTickMark val="in"/>
        <c:minorTickMark val="none"/>
        <c:tickLblPos val="nextTo"/>
        <c:crossAx val="640898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0575"/>
        </c:manualLayout>
      </c:layout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SWEP Swiss Electricity Price Index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1275"/>
          <c:w val="0.938"/>
          <c:h val="0.8735"/>
        </c:manualLayout>
      </c:layout>
      <c:lineChart>
        <c:grouping val="standard"/>
        <c:varyColors val="0"/>
        <c:ser>
          <c:idx val="0"/>
          <c:order val="0"/>
          <c:tx>
            <c:strRef>
              <c:f>SWEP!$B$1</c:f>
              <c:strCache>
                <c:ptCount val="1"/>
                <c:pt idx="0">
                  <c:v>CHF je MWh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SWEP!$A$2:$A$1500</c:f>
              <c:strCache>
                <c:ptCount val="1499"/>
                <c:pt idx="0">
                  <c:v>11.03.98</c:v>
                </c:pt>
                <c:pt idx="1">
                  <c:v>12.03.98</c:v>
                </c:pt>
                <c:pt idx="2">
                  <c:v>13.03.98</c:v>
                </c:pt>
                <c:pt idx="3">
                  <c:v>16.03.98</c:v>
                </c:pt>
                <c:pt idx="4">
                  <c:v>17.03.98</c:v>
                </c:pt>
                <c:pt idx="5">
                  <c:v>18.03.98</c:v>
                </c:pt>
                <c:pt idx="6">
                  <c:v>19.03.98</c:v>
                </c:pt>
                <c:pt idx="7">
                  <c:v>20.03.98</c:v>
                </c:pt>
                <c:pt idx="8">
                  <c:v>23.03.98</c:v>
                </c:pt>
                <c:pt idx="9">
                  <c:v>24.03.98</c:v>
                </c:pt>
                <c:pt idx="10">
                  <c:v>25.03.98</c:v>
                </c:pt>
                <c:pt idx="11">
                  <c:v>26.03.98</c:v>
                </c:pt>
                <c:pt idx="12">
                  <c:v>27.03.98</c:v>
                </c:pt>
                <c:pt idx="13">
                  <c:v>30.03.98</c:v>
                </c:pt>
                <c:pt idx="14">
                  <c:v>31.03.98</c:v>
                </c:pt>
                <c:pt idx="15">
                  <c:v>01.04.98</c:v>
                </c:pt>
                <c:pt idx="16">
                  <c:v>02.04.98</c:v>
                </c:pt>
                <c:pt idx="17">
                  <c:v>03.04.98</c:v>
                </c:pt>
                <c:pt idx="18">
                  <c:v>06.04.98</c:v>
                </c:pt>
                <c:pt idx="19">
                  <c:v>07.04.98</c:v>
                </c:pt>
                <c:pt idx="20">
                  <c:v>08.04.98</c:v>
                </c:pt>
                <c:pt idx="21">
                  <c:v>09.04.98</c:v>
                </c:pt>
                <c:pt idx="22">
                  <c:v>14.04.98</c:v>
                </c:pt>
                <c:pt idx="23">
                  <c:v>15.04.98</c:v>
                </c:pt>
                <c:pt idx="24">
                  <c:v>16.04.98</c:v>
                </c:pt>
                <c:pt idx="25">
                  <c:v>17.04.98</c:v>
                </c:pt>
                <c:pt idx="26">
                  <c:v>20.04.98</c:v>
                </c:pt>
                <c:pt idx="27">
                  <c:v>21.04.98</c:v>
                </c:pt>
                <c:pt idx="28">
                  <c:v>22.04.98</c:v>
                </c:pt>
                <c:pt idx="29">
                  <c:v>23.04.98</c:v>
                </c:pt>
                <c:pt idx="30">
                  <c:v>24.04.98</c:v>
                </c:pt>
                <c:pt idx="31">
                  <c:v>27.04.98</c:v>
                </c:pt>
                <c:pt idx="32">
                  <c:v>28.04.98</c:v>
                </c:pt>
                <c:pt idx="33">
                  <c:v>29.04.98</c:v>
                </c:pt>
                <c:pt idx="34">
                  <c:v>30.04.98</c:v>
                </c:pt>
                <c:pt idx="35">
                  <c:v>04.05.98</c:v>
                </c:pt>
                <c:pt idx="36">
                  <c:v>05.05.98</c:v>
                </c:pt>
                <c:pt idx="37">
                  <c:v>06.05.98</c:v>
                </c:pt>
                <c:pt idx="38">
                  <c:v>07.05.98</c:v>
                </c:pt>
                <c:pt idx="39">
                  <c:v>08.05.98</c:v>
                </c:pt>
                <c:pt idx="40">
                  <c:v>11.05.98</c:v>
                </c:pt>
                <c:pt idx="41">
                  <c:v>12.05.98</c:v>
                </c:pt>
                <c:pt idx="42">
                  <c:v>13.05.98</c:v>
                </c:pt>
                <c:pt idx="43">
                  <c:v>14.05.98</c:v>
                </c:pt>
                <c:pt idx="44">
                  <c:v>15.05.98</c:v>
                </c:pt>
                <c:pt idx="45">
                  <c:v>18.05.98</c:v>
                </c:pt>
                <c:pt idx="46">
                  <c:v>19.05.98</c:v>
                </c:pt>
                <c:pt idx="47">
                  <c:v>20.05.98</c:v>
                </c:pt>
                <c:pt idx="48">
                  <c:v>22.05.98</c:v>
                </c:pt>
                <c:pt idx="49">
                  <c:v>25.05.98</c:v>
                </c:pt>
                <c:pt idx="50">
                  <c:v>26.05.98</c:v>
                </c:pt>
                <c:pt idx="51">
                  <c:v>27.05.98</c:v>
                </c:pt>
                <c:pt idx="52">
                  <c:v>28.05.98</c:v>
                </c:pt>
                <c:pt idx="53">
                  <c:v>29.05.98</c:v>
                </c:pt>
                <c:pt idx="54">
                  <c:v>02.06.98</c:v>
                </c:pt>
                <c:pt idx="55">
                  <c:v>03.06.98</c:v>
                </c:pt>
                <c:pt idx="56">
                  <c:v>04.06.98</c:v>
                </c:pt>
                <c:pt idx="57">
                  <c:v>05.06.98</c:v>
                </c:pt>
                <c:pt idx="58">
                  <c:v>08.06.98</c:v>
                </c:pt>
                <c:pt idx="59">
                  <c:v>09.06.98</c:v>
                </c:pt>
                <c:pt idx="60">
                  <c:v>10.06.98</c:v>
                </c:pt>
                <c:pt idx="61">
                  <c:v>12.06.98</c:v>
                </c:pt>
                <c:pt idx="62">
                  <c:v>15.06.98</c:v>
                </c:pt>
                <c:pt idx="63">
                  <c:v>16.06.98</c:v>
                </c:pt>
                <c:pt idx="64">
                  <c:v>17.06.98</c:v>
                </c:pt>
                <c:pt idx="65">
                  <c:v>18.06.98</c:v>
                </c:pt>
                <c:pt idx="66">
                  <c:v>19.06.98</c:v>
                </c:pt>
                <c:pt idx="67">
                  <c:v>22.06.98</c:v>
                </c:pt>
                <c:pt idx="68">
                  <c:v>23.06.98</c:v>
                </c:pt>
                <c:pt idx="69">
                  <c:v>24.06.98</c:v>
                </c:pt>
                <c:pt idx="70">
                  <c:v>25.06.98</c:v>
                </c:pt>
                <c:pt idx="71">
                  <c:v>26.06.98</c:v>
                </c:pt>
                <c:pt idx="72">
                  <c:v>29.06.98</c:v>
                </c:pt>
                <c:pt idx="73">
                  <c:v>30.06.98</c:v>
                </c:pt>
                <c:pt idx="74">
                  <c:v>01.07.98</c:v>
                </c:pt>
                <c:pt idx="75">
                  <c:v>02.07.98</c:v>
                </c:pt>
                <c:pt idx="76">
                  <c:v>03.07.98</c:v>
                </c:pt>
                <c:pt idx="77">
                  <c:v>06.07.98</c:v>
                </c:pt>
                <c:pt idx="78">
                  <c:v>07.07.98</c:v>
                </c:pt>
                <c:pt idx="79">
                  <c:v>08.07.98</c:v>
                </c:pt>
                <c:pt idx="80">
                  <c:v>09.07.98</c:v>
                </c:pt>
                <c:pt idx="81">
                  <c:v>10.07.98</c:v>
                </c:pt>
                <c:pt idx="82">
                  <c:v>13.07.98</c:v>
                </c:pt>
                <c:pt idx="83">
                  <c:v>14.07.98</c:v>
                </c:pt>
                <c:pt idx="84">
                  <c:v>15.07.98</c:v>
                </c:pt>
                <c:pt idx="85">
                  <c:v>16.07.98</c:v>
                </c:pt>
                <c:pt idx="86">
                  <c:v>17.07.98</c:v>
                </c:pt>
                <c:pt idx="87">
                  <c:v>20.07.98</c:v>
                </c:pt>
                <c:pt idx="88">
                  <c:v>21.07.98</c:v>
                </c:pt>
                <c:pt idx="89">
                  <c:v>22.07.98</c:v>
                </c:pt>
                <c:pt idx="90">
                  <c:v>23.07.98</c:v>
                </c:pt>
                <c:pt idx="91">
                  <c:v>24.07.98</c:v>
                </c:pt>
                <c:pt idx="92">
                  <c:v>27.07.98</c:v>
                </c:pt>
                <c:pt idx="93">
                  <c:v>28.07.98</c:v>
                </c:pt>
                <c:pt idx="94">
                  <c:v>29.07.98</c:v>
                </c:pt>
                <c:pt idx="95">
                  <c:v>30.07.98</c:v>
                </c:pt>
                <c:pt idx="96">
                  <c:v>31.07.98</c:v>
                </c:pt>
                <c:pt idx="97">
                  <c:v>03.08.98</c:v>
                </c:pt>
                <c:pt idx="98">
                  <c:v>04.08.98</c:v>
                </c:pt>
                <c:pt idx="99">
                  <c:v>05.08.98</c:v>
                </c:pt>
                <c:pt idx="100">
                  <c:v>06.08.98</c:v>
                </c:pt>
                <c:pt idx="101">
                  <c:v>07.08.98</c:v>
                </c:pt>
                <c:pt idx="102">
                  <c:v>10.08.98</c:v>
                </c:pt>
                <c:pt idx="103">
                  <c:v>11.08.98</c:v>
                </c:pt>
                <c:pt idx="104">
                  <c:v>12.08.98</c:v>
                </c:pt>
                <c:pt idx="105">
                  <c:v>13.08.98</c:v>
                </c:pt>
                <c:pt idx="106">
                  <c:v>14.08.98</c:v>
                </c:pt>
                <c:pt idx="107">
                  <c:v>17.08.98</c:v>
                </c:pt>
                <c:pt idx="108">
                  <c:v>18.08.98</c:v>
                </c:pt>
                <c:pt idx="109">
                  <c:v>19.08.98</c:v>
                </c:pt>
                <c:pt idx="110">
                  <c:v>20.08.98</c:v>
                </c:pt>
                <c:pt idx="111">
                  <c:v>21.08.98</c:v>
                </c:pt>
                <c:pt idx="112">
                  <c:v>24.08.98</c:v>
                </c:pt>
                <c:pt idx="113">
                  <c:v>25.08.98</c:v>
                </c:pt>
                <c:pt idx="114">
                  <c:v>26.08.98</c:v>
                </c:pt>
                <c:pt idx="115">
                  <c:v>27.08.98</c:v>
                </c:pt>
                <c:pt idx="116">
                  <c:v>28.08.98</c:v>
                </c:pt>
                <c:pt idx="117">
                  <c:v>31.08.98</c:v>
                </c:pt>
                <c:pt idx="118">
                  <c:v>01.09.98</c:v>
                </c:pt>
                <c:pt idx="119">
                  <c:v>02.09.98</c:v>
                </c:pt>
                <c:pt idx="120">
                  <c:v>03.09.98</c:v>
                </c:pt>
                <c:pt idx="121">
                  <c:v>04.09.98</c:v>
                </c:pt>
                <c:pt idx="122">
                  <c:v>07.09.98</c:v>
                </c:pt>
                <c:pt idx="123">
                  <c:v>08.09.98</c:v>
                </c:pt>
                <c:pt idx="124">
                  <c:v>09.09.98</c:v>
                </c:pt>
                <c:pt idx="125">
                  <c:v>10.09.98</c:v>
                </c:pt>
                <c:pt idx="126">
                  <c:v>11.09.98</c:v>
                </c:pt>
                <c:pt idx="127">
                  <c:v>14.09.98</c:v>
                </c:pt>
                <c:pt idx="128">
                  <c:v>15.09.98</c:v>
                </c:pt>
                <c:pt idx="129">
                  <c:v>16.09.98</c:v>
                </c:pt>
                <c:pt idx="130">
                  <c:v>17.09.98</c:v>
                </c:pt>
                <c:pt idx="131">
                  <c:v>18.09.98</c:v>
                </c:pt>
                <c:pt idx="132">
                  <c:v>21.09.98</c:v>
                </c:pt>
                <c:pt idx="133">
                  <c:v>22.09.98</c:v>
                </c:pt>
                <c:pt idx="134">
                  <c:v>23.09.98</c:v>
                </c:pt>
                <c:pt idx="135">
                  <c:v>24.09.98</c:v>
                </c:pt>
                <c:pt idx="136">
                  <c:v>25.09.98</c:v>
                </c:pt>
                <c:pt idx="137">
                  <c:v>28.09.98</c:v>
                </c:pt>
                <c:pt idx="138">
                  <c:v>29.09.98</c:v>
                </c:pt>
                <c:pt idx="139">
                  <c:v>30.09.98</c:v>
                </c:pt>
                <c:pt idx="140">
                  <c:v>01.10.98</c:v>
                </c:pt>
                <c:pt idx="141">
                  <c:v>02.10.98</c:v>
                </c:pt>
                <c:pt idx="142">
                  <c:v>05.10.98</c:v>
                </c:pt>
                <c:pt idx="143">
                  <c:v>06.10.98</c:v>
                </c:pt>
                <c:pt idx="144">
                  <c:v>07.10.98</c:v>
                </c:pt>
                <c:pt idx="145">
                  <c:v>08.10.98</c:v>
                </c:pt>
                <c:pt idx="146">
                  <c:v>09.10.98</c:v>
                </c:pt>
                <c:pt idx="147">
                  <c:v>12.10.98</c:v>
                </c:pt>
                <c:pt idx="148">
                  <c:v>13.10.98</c:v>
                </c:pt>
                <c:pt idx="149">
                  <c:v>14.10.98</c:v>
                </c:pt>
                <c:pt idx="150">
                  <c:v>15.10.98</c:v>
                </c:pt>
                <c:pt idx="151">
                  <c:v>16.10.98</c:v>
                </c:pt>
                <c:pt idx="152">
                  <c:v>19.10.98</c:v>
                </c:pt>
                <c:pt idx="153">
                  <c:v>20.10.98</c:v>
                </c:pt>
                <c:pt idx="154">
                  <c:v>21.10.98</c:v>
                </c:pt>
                <c:pt idx="155">
                  <c:v>22.10.98</c:v>
                </c:pt>
                <c:pt idx="156">
                  <c:v>23.10.98</c:v>
                </c:pt>
                <c:pt idx="157">
                  <c:v>26.10.98</c:v>
                </c:pt>
                <c:pt idx="158">
                  <c:v>27.10.98</c:v>
                </c:pt>
                <c:pt idx="159">
                  <c:v>28.10.98</c:v>
                </c:pt>
                <c:pt idx="160">
                  <c:v>29.10.98</c:v>
                </c:pt>
                <c:pt idx="161">
                  <c:v>30.10.98</c:v>
                </c:pt>
                <c:pt idx="162">
                  <c:v>02.11.98</c:v>
                </c:pt>
                <c:pt idx="163">
                  <c:v>03.11.98</c:v>
                </c:pt>
                <c:pt idx="164">
                  <c:v>04.11.98</c:v>
                </c:pt>
                <c:pt idx="165">
                  <c:v>05.11.98</c:v>
                </c:pt>
                <c:pt idx="166">
                  <c:v>06.11.98</c:v>
                </c:pt>
                <c:pt idx="167">
                  <c:v>09.11.98</c:v>
                </c:pt>
                <c:pt idx="168">
                  <c:v>10.11.98</c:v>
                </c:pt>
                <c:pt idx="169">
                  <c:v>11.11.98</c:v>
                </c:pt>
                <c:pt idx="170">
                  <c:v>12.11.98</c:v>
                </c:pt>
                <c:pt idx="171">
                  <c:v>13.11.98</c:v>
                </c:pt>
                <c:pt idx="172">
                  <c:v>16.11.98</c:v>
                </c:pt>
                <c:pt idx="173">
                  <c:v>17.11.98</c:v>
                </c:pt>
                <c:pt idx="174">
                  <c:v>18.11.98</c:v>
                </c:pt>
                <c:pt idx="175">
                  <c:v>19.11.98</c:v>
                </c:pt>
                <c:pt idx="176">
                  <c:v>20.11.98</c:v>
                </c:pt>
                <c:pt idx="177">
                  <c:v>23.11.98</c:v>
                </c:pt>
                <c:pt idx="178">
                  <c:v>24.11.98</c:v>
                </c:pt>
                <c:pt idx="179">
                  <c:v>25.11.98</c:v>
                </c:pt>
                <c:pt idx="180">
                  <c:v>26.11.98</c:v>
                </c:pt>
                <c:pt idx="181">
                  <c:v>27.11.98</c:v>
                </c:pt>
                <c:pt idx="182">
                  <c:v>30.11.98</c:v>
                </c:pt>
                <c:pt idx="183">
                  <c:v>01.12.98</c:v>
                </c:pt>
                <c:pt idx="184">
                  <c:v>02.12.98</c:v>
                </c:pt>
                <c:pt idx="185">
                  <c:v>03.12.98</c:v>
                </c:pt>
                <c:pt idx="186">
                  <c:v>04.12.98</c:v>
                </c:pt>
                <c:pt idx="187">
                  <c:v>07.12.98</c:v>
                </c:pt>
                <c:pt idx="188">
                  <c:v>08.12.98</c:v>
                </c:pt>
                <c:pt idx="189">
                  <c:v>09.12.98</c:v>
                </c:pt>
                <c:pt idx="190">
                  <c:v>10.12.98</c:v>
                </c:pt>
                <c:pt idx="191">
                  <c:v>11.12.98</c:v>
                </c:pt>
                <c:pt idx="192">
                  <c:v>14.12.98</c:v>
                </c:pt>
                <c:pt idx="193">
                  <c:v>15.12.98</c:v>
                </c:pt>
                <c:pt idx="194">
                  <c:v>16.12.98</c:v>
                </c:pt>
                <c:pt idx="195">
                  <c:v>17.12.98</c:v>
                </c:pt>
                <c:pt idx="196">
                  <c:v>18.12.98</c:v>
                </c:pt>
                <c:pt idx="197">
                  <c:v>21.12.98</c:v>
                </c:pt>
                <c:pt idx="198">
                  <c:v>22.12.98</c:v>
                </c:pt>
                <c:pt idx="199">
                  <c:v>23.12.98</c:v>
                </c:pt>
                <c:pt idx="200">
                  <c:v>24.12.98</c:v>
                </c:pt>
                <c:pt idx="201">
                  <c:v>28.12.98</c:v>
                </c:pt>
                <c:pt idx="202">
                  <c:v>29.12.98</c:v>
                </c:pt>
                <c:pt idx="203">
                  <c:v>30.12.98</c:v>
                </c:pt>
                <c:pt idx="204">
                  <c:v>31.12.98</c:v>
                </c:pt>
                <c:pt idx="205">
                  <c:v>04.01.99</c:v>
                </c:pt>
                <c:pt idx="206">
                  <c:v>05.01.99</c:v>
                </c:pt>
                <c:pt idx="207">
                  <c:v>06.01.99</c:v>
                </c:pt>
                <c:pt idx="208">
                  <c:v>07.01.99</c:v>
                </c:pt>
                <c:pt idx="209">
                  <c:v>08.01.99</c:v>
                </c:pt>
                <c:pt idx="210">
                  <c:v>11.01.99</c:v>
                </c:pt>
                <c:pt idx="211">
                  <c:v>12.01.99</c:v>
                </c:pt>
                <c:pt idx="212">
                  <c:v>13.01.99</c:v>
                </c:pt>
                <c:pt idx="213">
                  <c:v>14.01.99</c:v>
                </c:pt>
                <c:pt idx="214">
                  <c:v>15.01.99</c:v>
                </c:pt>
                <c:pt idx="215">
                  <c:v>18.01.99</c:v>
                </c:pt>
                <c:pt idx="216">
                  <c:v>19.01.99</c:v>
                </c:pt>
                <c:pt idx="217">
                  <c:v>20.01.99</c:v>
                </c:pt>
                <c:pt idx="218">
                  <c:v>21.01.99</c:v>
                </c:pt>
                <c:pt idx="219">
                  <c:v>22.01.99</c:v>
                </c:pt>
                <c:pt idx="220">
                  <c:v>25.01.99</c:v>
                </c:pt>
                <c:pt idx="221">
                  <c:v>26.01.99</c:v>
                </c:pt>
                <c:pt idx="222">
                  <c:v>27.01.99</c:v>
                </c:pt>
                <c:pt idx="223">
                  <c:v>28.01.99</c:v>
                </c:pt>
                <c:pt idx="224">
                  <c:v>29.01.99</c:v>
                </c:pt>
                <c:pt idx="225">
                  <c:v>01.02.99</c:v>
                </c:pt>
                <c:pt idx="226">
                  <c:v>02.02.99</c:v>
                </c:pt>
                <c:pt idx="227">
                  <c:v>03.02.99</c:v>
                </c:pt>
                <c:pt idx="228">
                  <c:v>04.02.99</c:v>
                </c:pt>
                <c:pt idx="229">
                  <c:v>05.02.99</c:v>
                </c:pt>
                <c:pt idx="230">
                  <c:v>08.02.99</c:v>
                </c:pt>
                <c:pt idx="231">
                  <c:v>09.02.99</c:v>
                </c:pt>
                <c:pt idx="232">
                  <c:v>10.02.99</c:v>
                </c:pt>
                <c:pt idx="233">
                  <c:v>11.02.99</c:v>
                </c:pt>
                <c:pt idx="234">
                  <c:v>12.02.99</c:v>
                </c:pt>
                <c:pt idx="235">
                  <c:v>15.02.99</c:v>
                </c:pt>
                <c:pt idx="236">
                  <c:v>16.02.99</c:v>
                </c:pt>
                <c:pt idx="237">
                  <c:v>17.02.99</c:v>
                </c:pt>
                <c:pt idx="238">
                  <c:v>18.02.99</c:v>
                </c:pt>
                <c:pt idx="239">
                  <c:v>19.02.99</c:v>
                </c:pt>
                <c:pt idx="240">
                  <c:v>22.02.99</c:v>
                </c:pt>
                <c:pt idx="241">
                  <c:v>23.02.99</c:v>
                </c:pt>
                <c:pt idx="242">
                  <c:v>24.02.99</c:v>
                </c:pt>
                <c:pt idx="243">
                  <c:v>25.02.99</c:v>
                </c:pt>
                <c:pt idx="244">
                  <c:v>26.02.99</c:v>
                </c:pt>
                <c:pt idx="245">
                  <c:v>01.03.99</c:v>
                </c:pt>
                <c:pt idx="246">
                  <c:v>02.03.99</c:v>
                </c:pt>
                <c:pt idx="247">
                  <c:v>03.03.99</c:v>
                </c:pt>
                <c:pt idx="248">
                  <c:v>04.03.99</c:v>
                </c:pt>
                <c:pt idx="249">
                  <c:v>05.03.99</c:v>
                </c:pt>
                <c:pt idx="250">
                  <c:v>08.03.99</c:v>
                </c:pt>
                <c:pt idx="251">
                  <c:v>09.03.99</c:v>
                </c:pt>
                <c:pt idx="252">
                  <c:v>10.03.99</c:v>
                </c:pt>
                <c:pt idx="253">
                  <c:v>11.03.99</c:v>
                </c:pt>
                <c:pt idx="254">
                  <c:v>12.03.99</c:v>
                </c:pt>
                <c:pt idx="255">
                  <c:v>15.03.99</c:v>
                </c:pt>
                <c:pt idx="256">
                  <c:v>16.03.99</c:v>
                </c:pt>
                <c:pt idx="257">
                  <c:v>17.03.99</c:v>
                </c:pt>
                <c:pt idx="258">
                  <c:v>18.03.99</c:v>
                </c:pt>
                <c:pt idx="259">
                  <c:v>19.03.99</c:v>
                </c:pt>
                <c:pt idx="260">
                  <c:v>22.03.99</c:v>
                </c:pt>
                <c:pt idx="261">
                  <c:v>23.03.99</c:v>
                </c:pt>
                <c:pt idx="262">
                  <c:v>24.03.99</c:v>
                </c:pt>
                <c:pt idx="263">
                  <c:v>25.03.99</c:v>
                </c:pt>
                <c:pt idx="264">
                  <c:v>26.03.99</c:v>
                </c:pt>
                <c:pt idx="265">
                  <c:v>29.03.99</c:v>
                </c:pt>
                <c:pt idx="266">
                  <c:v>30.03.99</c:v>
                </c:pt>
                <c:pt idx="267">
                  <c:v>31.03.99</c:v>
                </c:pt>
                <c:pt idx="268">
                  <c:v>01.04.99</c:v>
                </c:pt>
                <c:pt idx="269">
                  <c:v>06.04.99</c:v>
                </c:pt>
                <c:pt idx="270">
                  <c:v>07.04.99</c:v>
                </c:pt>
                <c:pt idx="271">
                  <c:v>08.04.99</c:v>
                </c:pt>
                <c:pt idx="272">
                  <c:v>09.04.99</c:v>
                </c:pt>
                <c:pt idx="273">
                  <c:v>12.04.99</c:v>
                </c:pt>
                <c:pt idx="274">
                  <c:v>13.04.99</c:v>
                </c:pt>
                <c:pt idx="275">
                  <c:v>14.04.99</c:v>
                </c:pt>
                <c:pt idx="276">
                  <c:v>15.04.99</c:v>
                </c:pt>
                <c:pt idx="277">
                  <c:v>16.04.99</c:v>
                </c:pt>
                <c:pt idx="278">
                  <c:v>19.04.99</c:v>
                </c:pt>
                <c:pt idx="279">
                  <c:v>20.04.99</c:v>
                </c:pt>
                <c:pt idx="280">
                  <c:v>21.04.99</c:v>
                </c:pt>
                <c:pt idx="281">
                  <c:v>22.04.99</c:v>
                </c:pt>
                <c:pt idx="282">
                  <c:v>23.04.99</c:v>
                </c:pt>
                <c:pt idx="283">
                  <c:v>26.04.99</c:v>
                </c:pt>
                <c:pt idx="284">
                  <c:v>27.04.99</c:v>
                </c:pt>
                <c:pt idx="285">
                  <c:v>28.04.99</c:v>
                </c:pt>
                <c:pt idx="286">
                  <c:v>29.04.99</c:v>
                </c:pt>
                <c:pt idx="287">
                  <c:v>30.04.99</c:v>
                </c:pt>
                <c:pt idx="288">
                  <c:v>03.05.99</c:v>
                </c:pt>
                <c:pt idx="289">
                  <c:v>04.05.99</c:v>
                </c:pt>
                <c:pt idx="290">
                  <c:v>05.05.99</c:v>
                </c:pt>
                <c:pt idx="291">
                  <c:v>06.05.99</c:v>
                </c:pt>
                <c:pt idx="292">
                  <c:v>07.05.99</c:v>
                </c:pt>
                <c:pt idx="293">
                  <c:v>10.05.99</c:v>
                </c:pt>
                <c:pt idx="294">
                  <c:v>11.05.99</c:v>
                </c:pt>
                <c:pt idx="295">
                  <c:v>12.05.99</c:v>
                </c:pt>
                <c:pt idx="296">
                  <c:v>14.05.99</c:v>
                </c:pt>
                <c:pt idx="297">
                  <c:v>17.05.99</c:v>
                </c:pt>
                <c:pt idx="298">
                  <c:v>18.05.99</c:v>
                </c:pt>
                <c:pt idx="299">
                  <c:v>19.05.99</c:v>
                </c:pt>
                <c:pt idx="300">
                  <c:v>20.05.99</c:v>
                </c:pt>
                <c:pt idx="301">
                  <c:v>21.05.99</c:v>
                </c:pt>
                <c:pt idx="302">
                  <c:v>25.05.99</c:v>
                </c:pt>
                <c:pt idx="303">
                  <c:v>26.05.99</c:v>
                </c:pt>
                <c:pt idx="304">
                  <c:v>27.05.99</c:v>
                </c:pt>
                <c:pt idx="305">
                  <c:v>28.05.99</c:v>
                </c:pt>
                <c:pt idx="306">
                  <c:v>31.05.99</c:v>
                </c:pt>
                <c:pt idx="307">
                  <c:v>01.06.99</c:v>
                </c:pt>
                <c:pt idx="308">
                  <c:v>02.06.99</c:v>
                </c:pt>
                <c:pt idx="309">
                  <c:v>03.06.99</c:v>
                </c:pt>
                <c:pt idx="310">
                  <c:v>04.06.99</c:v>
                </c:pt>
                <c:pt idx="311">
                  <c:v>07.06.99</c:v>
                </c:pt>
                <c:pt idx="312">
                  <c:v>08.06.99</c:v>
                </c:pt>
                <c:pt idx="313">
                  <c:v>09.06.99</c:v>
                </c:pt>
                <c:pt idx="314">
                  <c:v>10.06.99</c:v>
                </c:pt>
                <c:pt idx="315">
                  <c:v>11.06.99</c:v>
                </c:pt>
                <c:pt idx="316">
                  <c:v>14.06.99</c:v>
                </c:pt>
                <c:pt idx="317">
                  <c:v>15.06.99</c:v>
                </c:pt>
                <c:pt idx="318">
                  <c:v>16.06.99</c:v>
                </c:pt>
                <c:pt idx="319">
                  <c:v>17.06.99</c:v>
                </c:pt>
                <c:pt idx="320">
                  <c:v>18.06.99</c:v>
                </c:pt>
                <c:pt idx="321">
                  <c:v>21.06.99</c:v>
                </c:pt>
                <c:pt idx="322">
                  <c:v>22.06.99</c:v>
                </c:pt>
                <c:pt idx="323">
                  <c:v>23.06.99</c:v>
                </c:pt>
                <c:pt idx="324">
                  <c:v>24.06.99</c:v>
                </c:pt>
                <c:pt idx="325">
                  <c:v>25.06.99</c:v>
                </c:pt>
                <c:pt idx="326">
                  <c:v>28.06.99</c:v>
                </c:pt>
                <c:pt idx="327">
                  <c:v>29.06.99</c:v>
                </c:pt>
                <c:pt idx="328">
                  <c:v>30.06.99</c:v>
                </c:pt>
                <c:pt idx="329">
                  <c:v>01.07.99</c:v>
                </c:pt>
                <c:pt idx="330">
                  <c:v>02.07.99</c:v>
                </c:pt>
                <c:pt idx="331">
                  <c:v>05.07.99</c:v>
                </c:pt>
                <c:pt idx="332">
                  <c:v>06.07.99</c:v>
                </c:pt>
                <c:pt idx="333">
                  <c:v>07.07.99</c:v>
                </c:pt>
                <c:pt idx="334">
                  <c:v>08.07.99</c:v>
                </c:pt>
                <c:pt idx="335">
                  <c:v>09.07.99</c:v>
                </c:pt>
                <c:pt idx="336">
                  <c:v>12.07.99</c:v>
                </c:pt>
                <c:pt idx="337">
                  <c:v>13.07.99</c:v>
                </c:pt>
                <c:pt idx="338">
                  <c:v>14.07.99</c:v>
                </c:pt>
                <c:pt idx="339">
                  <c:v>15.07.99</c:v>
                </c:pt>
                <c:pt idx="340">
                  <c:v>16.07.99</c:v>
                </c:pt>
                <c:pt idx="341">
                  <c:v>19.07.99</c:v>
                </c:pt>
                <c:pt idx="342">
                  <c:v>20.07.99</c:v>
                </c:pt>
                <c:pt idx="343">
                  <c:v>21.07.99</c:v>
                </c:pt>
                <c:pt idx="344">
                  <c:v>22.07.99</c:v>
                </c:pt>
                <c:pt idx="345">
                  <c:v>23.07.99</c:v>
                </c:pt>
                <c:pt idx="346">
                  <c:v>26.07.99</c:v>
                </c:pt>
                <c:pt idx="347">
                  <c:v>27.07.99</c:v>
                </c:pt>
                <c:pt idx="348">
                  <c:v>28.07.99</c:v>
                </c:pt>
                <c:pt idx="349">
                  <c:v>29.07.99</c:v>
                </c:pt>
                <c:pt idx="350">
                  <c:v>30.07.99</c:v>
                </c:pt>
                <c:pt idx="351">
                  <c:v>02.08.99</c:v>
                </c:pt>
                <c:pt idx="352">
                  <c:v>03.08.99</c:v>
                </c:pt>
                <c:pt idx="353">
                  <c:v>04.08.99</c:v>
                </c:pt>
                <c:pt idx="354">
                  <c:v>05.08.99</c:v>
                </c:pt>
                <c:pt idx="355">
                  <c:v>06.08.99</c:v>
                </c:pt>
                <c:pt idx="356">
                  <c:v>09.08.99</c:v>
                </c:pt>
                <c:pt idx="357">
                  <c:v>10.08.99</c:v>
                </c:pt>
                <c:pt idx="358">
                  <c:v>11.08.99</c:v>
                </c:pt>
                <c:pt idx="359">
                  <c:v>12.08.99</c:v>
                </c:pt>
                <c:pt idx="360">
                  <c:v>13.08.99</c:v>
                </c:pt>
                <c:pt idx="361">
                  <c:v>16.08.99</c:v>
                </c:pt>
                <c:pt idx="362">
                  <c:v>17.08.99</c:v>
                </c:pt>
                <c:pt idx="363">
                  <c:v>18.08.99</c:v>
                </c:pt>
                <c:pt idx="364">
                  <c:v>19.08.99</c:v>
                </c:pt>
                <c:pt idx="365">
                  <c:v>20.08.99</c:v>
                </c:pt>
                <c:pt idx="366">
                  <c:v>23.08.99</c:v>
                </c:pt>
                <c:pt idx="367">
                  <c:v>24.08.99</c:v>
                </c:pt>
                <c:pt idx="368">
                  <c:v>25.08.99</c:v>
                </c:pt>
                <c:pt idx="369">
                  <c:v>26.08.99</c:v>
                </c:pt>
                <c:pt idx="370">
                  <c:v>27.08.99</c:v>
                </c:pt>
                <c:pt idx="371">
                  <c:v>30.08.99</c:v>
                </c:pt>
                <c:pt idx="372">
                  <c:v>31.08.99</c:v>
                </c:pt>
                <c:pt idx="373">
                  <c:v>01.09.99</c:v>
                </c:pt>
                <c:pt idx="374">
                  <c:v>02.09.99</c:v>
                </c:pt>
                <c:pt idx="375">
                  <c:v>03.09.99</c:v>
                </c:pt>
                <c:pt idx="376">
                  <c:v>06.09.99</c:v>
                </c:pt>
                <c:pt idx="377">
                  <c:v>07.09.99</c:v>
                </c:pt>
                <c:pt idx="378">
                  <c:v>08.09.99</c:v>
                </c:pt>
                <c:pt idx="379">
                  <c:v>09.09.99</c:v>
                </c:pt>
                <c:pt idx="380">
                  <c:v>10.09.99</c:v>
                </c:pt>
                <c:pt idx="381">
                  <c:v>13.09.99</c:v>
                </c:pt>
                <c:pt idx="382">
                  <c:v>14.09.99</c:v>
                </c:pt>
                <c:pt idx="383">
                  <c:v>15.09.99</c:v>
                </c:pt>
                <c:pt idx="384">
                  <c:v>16.09.99</c:v>
                </c:pt>
                <c:pt idx="385">
                  <c:v>17.09.99</c:v>
                </c:pt>
                <c:pt idx="386">
                  <c:v>20.09.99</c:v>
                </c:pt>
                <c:pt idx="387">
                  <c:v>21.09.99</c:v>
                </c:pt>
                <c:pt idx="388">
                  <c:v>22.09.99</c:v>
                </c:pt>
                <c:pt idx="389">
                  <c:v>23.09.99</c:v>
                </c:pt>
                <c:pt idx="390">
                  <c:v>24.09.99</c:v>
                </c:pt>
                <c:pt idx="391">
                  <c:v>27.09.99</c:v>
                </c:pt>
                <c:pt idx="392">
                  <c:v>28.09.99</c:v>
                </c:pt>
                <c:pt idx="393">
                  <c:v>29.09.99</c:v>
                </c:pt>
                <c:pt idx="394">
                  <c:v>30.09.99</c:v>
                </c:pt>
                <c:pt idx="395">
                  <c:v>01.10.99</c:v>
                </c:pt>
                <c:pt idx="396">
                  <c:v>04.10.99</c:v>
                </c:pt>
                <c:pt idx="397">
                  <c:v>05.10.99</c:v>
                </c:pt>
                <c:pt idx="398">
                  <c:v>06.10.99</c:v>
                </c:pt>
                <c:pt idx="399">
                  <c:v>07.10.99</c:v>
                </c:pt>
                <c:pt idx="400">
                  <c:v>08.10.99</c:v>
                </c:pt>
                <c:pt idx="401">
                  <c:v>11.10.99</c:v>
                </c:pt>
                <c:pt idx="402">
                  <c:v>12.10.99</c:v>
                </c:pt>
                <c:pt idx="403">
                  <c:v>13.10.99</c:v>
                </c:pt>
                <c:pt idx="404">
                  <c:v>14.10.99</c:v>
                </c:pt>
                <c:pt idx="405">
                  <c:v>15.10.99</c:v>
                </c:pt>
                <c:pt idx="406">
                  <c:v>18.10.99</c:v>
                </c:pt>
                <c:pt idx="407">
                  <c:v>19.10.99</c:v>
                </c:pt>
                <c:pt idx="408">
                  <c:v>20.10.99</c:v>
                </c:pt>
                <c:pt idx="409">
                  <c:v>21.10.99</c:v>
                </c:pt>
                <c:pt idx="410">
                  <c:v>22.10.99</c:v>
                </c:pt>
                <c:pt idx="411">
                  <c:v>25.10.99</c:v>
                </c:pt>
                <c:pt idx="412">
                  <c:v>26.10.99</c:v>
                </c:pt>
                <c:pt idx="413">
                  <c:v>27.10.99</c:v>
                </c:pt>
                <c:pt idx="414">
                  <c:v>28.10.99</c:v>
                </c:pt>
                <c:pt idx="415">
                  <c:v>29.10.99</c:v>
                </c:pt>
                <c:pt idx="416">
                  <c:v>02.11.99</c:v>
                </c:pt>
                <c:pt idx="417">
                  <c:v>03.11.99</c:v>
                </c:pt>
                <c:pt idx="418">
                  <c:v>04.11.99</c:v>
                </c:pt>
                <c:pt idx="419">
                  <c:v>05.11.99</c:v>
                </c:pt>
                <c:pt idx="420">
                  <c:v>08.11.99</c:v>
                </c:pt>
                <c:pt idx="421">
                  <c:v>09.11.99</c:v>
                </c:pt>
                <c:pt idx="422">
                  <c:v>10.11.99</c:v>
                </c:pt>
                <c:pt idx="423">
                  <c:v>11.11.99</c:v>
                </c:pt>
                <c:pt idx="424">
                  <c:v>12.11.99</c:v>
                </c:pt>
                <c:pt idx="425">
                  <c:v>15.11.99</c:v>
                </c:pt>
                <c:pt idx="426">
                  <c:v>16.11.99</c:v>
                </c:pt>
                <c:pt idx="427">
                  <c:v>17.11.99</c:v>
                </c:pt>
                <c:pt idx="428">
                  <c:v>18.11.99</c:v>
                </c:pt>
                <c:pt idx="429">
                  <c:v>19.11.99</c:v>
                </c:pt>
                <c:pt idx="430">
                  <c:v>22.11.99</c:v>
                </c:pt>
                <c:pt idx="431">
                  <c:v>23.11.99</c:v>
                </c:pt>
                <c:pt idx="432">
                  <c:v>24.11.99</c:v>
                </c:pt>
                <c:pt idx="433">
                  <c:v>25.11.99</c:v>
                </c:pt>
                <c:pt idx="434">
                  <c:v>26.11.99</c:v>
                </c:pt>
                <c:pt idx="435">
                  <c:v>29.11.99</c:v>
                </c:pt>
                <c:pt idx="436">
                  <c:v>30.11.99</c:v>
                </c:pt>
                <c:pt idx="437">
                  <c:v>01.12.99</c:v>
                </c:pt>
                <c:pt idx="438">
                  <c:v>02.12.99</c:v>
                </c:pt>
                <c:pt idx="439">
                  <c:v>03.12.99</c:v>
                </c:pt>
                <c:pt idx="440">
                  <c:v>06.12.99</c:v>
                </c:pt>
                <c:pt idx="441">
                  <c:v>07.12.99</c:v>
                </c:pt>
                <c:pt idx="442">
                  <c:v>08.12.99</c:v>
                </c:pt>
                <c:pt idx="443">
                  <c:v>09.12.99</c:v>
                </c:pt>
                <c:pt idx="444">
                  <c:v>10.12.99</c:v>
                </c:pt>
                <c:pt idx="445">
                  <c:v>13.12.99</c:v>
                </c:pt>
                <c:pt idx="446">
                  <c:v>14.12.99</c:v>
                </c:pt>
                <c:pt idx="447">
                  <c:v>15.12.99</c:v>
                </c:pt>
                <c:pt idx="448">
                  <c:v>16.12.99</c:v>
                </c:pt>
                <c:pt idx="449">
                  <c:v>17.12.99</c:v>
                </c:pt>
                <c:pt idx="450">
                  <c:v>20.12.99</c:v>
                </c:pt>
                <c:pt idx="451">
                  <c:v>21.12.99</c:v>
                </c:pt>
                <c:pt idx="452">
                  <c:v>22.12.99</c:v>
                </c:pt>
                <c:pt idx="453">
                  <c:v>23.12.99</c:v>
                </c:pt>
                <c:pt idx="454">
                  <c:v>24.12.99</c:v>
                </c:pt>
                <c:pt idx="455">
                  <c:v>27.12.99</c:v>
                </c:pt>
                <c:pt idx="456">
                  <c:v>28.12.99</c:v>
                </c:pt>
                <c:pt idx="457">
                  <c:v>29.12.99</c:v>
                </c:pt>
                <c:pt idx="458">
                  <c:v>30.12.99</c:v>
                </c:pt>
                <c:pt idx="459">
                  <c:v>31.12.99</c:v>
                </c:pt>
                <c:pt idx="460">
                  <c:v>03.01.00</c:v>
                </c:pt>
                <c:pt idx="461">
                  <c:v>04.01.00</c:v>
                </c:pt>
                <c:pt idx="462">
                  <c:v>05.01.00</c:v>
                </c:pt>
                <c:pt idx="463">
                  <c:v>06.01.00</c:v>
                </c:pt>
                <c:pt idx="464">
                  <c:v>07.01.00</c:v>
                </c:pt>
                <c:pt idx="465">
                  <c:v>10.01.00</c:v>
                </c:pt>
                <c:pt idx="466">
                  <c:v>11.01.00</c:v>
                </c:pt>
                <c:pt idx="467">
                  <c:v>12.01.00</c:v>
                </c:pt>
                <c:pt idx="468">
                  <c:v>13.01.00</c:v>
                </c:pt>
                <c:pt idx="469">
                  <c:v>14.01.00</c:v>
                </c:pt>
                <c:pt idx="470">
                  <c:v>17.01.00</c:v>
                </c:pt>
                <c:pt idx="471">
                  <c:v>18.01.00</c:v>
                </c:pt>
                <c:pt idx="472">
                  <c:v>19.01.00</c:v>
                </c:pt>
                <c:pt idx="473">
                  <c:v>20.01.00</c:v>
                </c:pt>
                <c:pt idx="474">
                  <c:v>21.01.00</c:v>
                </c:pt>
                <c:pt idx="475">
                  <c:v>24.01.00</c:v>
                </c:pt>
                <c:pt idx="476">
                  <c:v>25.01.00</c:v>
                </c:pt>
                <c:pt idx="477">
                  <c:v>26.01.00</c:v>
                </c:pt>
                <c:pt idx="478">
                  <c:v>27.01.00</c:v>
                </c:pt>
                <c:pt idx="479">
                  <c:v>28.01.00</c:v>
                </c:pt>
                <c:pt idx="480">
                  <c:v>31.01.00</c:v>
                </c:pt>
                <c:pt idx="481">
                  <c:v>01.02.00</c:v>
                </c:pt>
                <c:pt idx="482">
                  <c:v>02.02.00</c:v>
                </c:pt>
                <c:pt idx="483">
                  <c:v>03.02.00</c:v>
                </c:pt>
                <c:pt idx="484">
                  <c:v>04.02.00</c:v>
                </c:pt>
                <c:pt idx="485">
                  <c:v>07.02.00</c:v>
                </c:pt>
                <c:pt idx="486">
                  <c:v>08.02.00</c:v>
                </c:pt>
                <c:pt idx="487">
                  <c:v>09.02.00</c:v>
                </c:pt>
                <c:pt idx="488">
                  <c:v>10.02.00</c:v>
                </c:pt>
                <c:pt idx="489">
                  <c:v>11.02.00</c:v>
                </c:pt>
                <c:pt idx="490">
                  <c:v>14.02.00</c:v>
                </c:pt>
                <c:pt idx="491">
                  <c:v>15.02.00</c:v>
                </c:pt>
                <c:pt idx="492">
                  <c:v>16.02.00</c:v>
                </c:pt>
                <c:pt idx="493">
                  <c:v>17.02.00</c:v>
                </c:pt>
                <c:pt idx="494">
                  <c:v>18.02.00</c:v>
                </c:pt>
                <c:pt idx="495">
                  <c:v>21.02.00</c:v>
                </c:pt>
                <c:pt idx="496">
                  <c:v>22.02.00</c:v>
                </c:pt>
                <c:pt idx="497">
                  <c:v>23.02.00</c:v>
                </c:pt>
                <c:pt idx="498">
                  <c:v>24.02.00</c:v>
                </c:pt>
                <c:pt idx="499">
                  <c:v>25.02.00</c:v>
                </c:pt>
                <c:pt idx="500">
                  <c:v>28.02.00</c:v>
                </c:pt>
                <c:pt idx="501">
                  <c:v>29.02.00</c:v>
                </c:pt>
                <c:pt idx="502">
                  <c:v>01.03.00</c:v>
                </c:pt>
                <c:pt idx="503">
                  <c:v>02.03.00</c:v>
                </c:pt>
                <c:pt idx="504">
                  <c:v>03.03.00</c:v>
                </c:pt>
                <c:pt idx="505">
                  <c:v>06.03.00</c:v>
                </c:pt>
                <c:pt idx="506">
                  <c:v>07.03.00</c:v>
                </c:pt>
                <c:pt idx="507">
                  <c:v>08.03.00</c:v>
                </c:pt>
                <c:pt idx="508">
                  <c:v>09.03.00</c:v>
                </c:pt>
                <c:pt idx="509">
                  <c:v>10.03.00</c:v>
                </c:pt>
                <c:pt idx="510">
                  <c:v>13.03.00</c:v>
                </c:pt>
                <c:pt idx="511">
                  <c:v>14.03.00</c:v>
                </c:pt>
                <c:pt idx="512">
                  <c:v>15.03.00</c:v>
                </c:pt>
                <c:pt idx="513">
                  <c:v>16.03.00</c:v>
                </c:pt>
                <c:pt idx="514">
                  <c:v>17.03.00</c:v>
                </c:pt>
                <c:pt idx="515">
                  <c:v>20.03.00</c:v>
                </c:pt>
                <c:pt idx="516">
                  <c:v>21.03.00</c:v>
                </c:pt>
                <c:pt idx="517">
                  <c:v>22.03.00</c:v>
                </c:pt>
                <c:pt idx="518">
                  <c:v>23.03.00</c:v>
                </c:pt>
                <c:pt idx="519">
                  <c:v>24.03.00</c:v>
                </c:pt>
                <c:pt idx="520">
                  <c:v>27.03.00</c:v>
                </c:pt>
                <c:pt idx="521">
                  <c:v>28.03.00</c:v>
                </c:pt>
                <c:pt idx="522">
                  <c:v>29.03.00</c:v>
                </c:pt>
                <c:pt idx="523">
                  <c:v>30.03.00</c:v>
                </c:pt>
                <c:pt idx="524">
                  <c:v>31.03.00</c:v>
                </c:pt>
                <c:pt idx="525">
                  <c:v>03.04.00</c:v>
                </c:pt>
                <c:pt idx="526">
                  <c:v>04.04.00</c:v>
                </c:pt>
                <c:pt idx="527">
                  <c:v>05.04.00</c:v>
                </c:pt>
                <c:pt idx="528">
                  <c:v>06.04.00</c:v>
                </c:pt>
                <c:pt idx="529">
                  <c:v>07.04.00</c:v>
                </c:pt>
                <c:pt idx="530">
                  <c:v>10.04.00</c:v>
                </c:pt>
                <c:pt idx="531">
                  <c:v>11.04.00</c:v>
                </c:pt>
                <c:pt idx="532">
                  <c:v>12.04.00</c:v>
                </c:pt>
                <c:pt idx="533">
                  <c:v>13.04.00</c:v>
                </c:pt>
                <c:pt idx="534">
                  <c:v>14.04.00</c:v>
                </c:pt>
                <c:pt idx="535">
                  <c:v>17.04.00</c:v>
                </c:pt>
                <c:pt idx="536">
                  <c:v>18.04.00</c:v>
                </c:pt>
                <c:pt idx="537">
                  <c:v>19.04.00</c:v>
                </c:pt>
                <c:pt idx="538">
                  <c:v>20.04.00</c:v>
                </c:pt>
                <c:pt idx="539">
                  <c:v>21.04.00</c:v>
                </c:pt>
                <c:pt idx="540">
                  <c:v>25.04.00</c:v>
                </c:pt>
                <c:pt idx="541">
                  <c:v>26.04.00</c:v>
                </c:pt>
                <c:pt idx="542">
                  <c:v>27.04.00</c:v>
                </c:pt>
                <c:pt idx="543">
                  <c:v>28.04.00</c:v>
                </c:pt>
                <c:pt idx="544">
                  <c:v>02.05.00</c:v>
                </c:pt>
                <c:pt idx="545">
                  <c:v>03.05.00</c:v>
                </c:pt>
                <c:pt idx="546">
                  <c:v>04.05.00</c:v>
                </c:pt>
                <c:pt idx="547">
                  <c:v>05.05.00</c:v>
                </c:pt>
                <c:pt idx="548">
                  <c:v>08.05.00</c:v>
                </c:pt>
                <c:pt idx="549">
                  <c:v>09.05.00</c:v>
                </c:pt>
                <c:pt idx="550">
                  <c:v>10.05.00</c:v>
                </c:pt>
                <c:pt idx="551">
                  <c:v>11.05.00</c:v>
                </c:pt>
                <c:pt idx="552">
                  <c:v>12.05.00</c:v>
                </c:pt>
                <c:pt idx="553">
                  <c:v>15.05.00</c:v>
                </c:pt>
                <c:pt idx="554">
                  <c:v>16.05.00</c:v>
                </c:pt>
                <c:pt idx="555">
                  <c:v>17.05.00</c:v>
                </c:pt>
                <c:pt idx="556">
                  <c:v>18.05.00</c:v>
                </c:pt>
                <c:pt idx="557">
                  <c:v>19.05.00</c:v>
                </c:pt>
                <c:pt idx="558">
                  <c:v>22.05.00</c:v>
                </c:pt>
                <c:pt idx="559">
                  <c:v>23.05.00</c:v>
                </c:pt>
                <c:pt idx="560">
                  <c:v>24.05.00</c:v>
                </c:pt>
                <c:pt idx="561">
                  <c:v>25.05.00</c:v>
                </c:pt>
                <c:pt idx="562">
                  <c:v>26.05.00</c:v>
                </c:pt>
                <c:pt idx="563">
                  <c:v>29.05.00</c:v>
                </c:pt>
                <c:pt idx="564">
                  <c:v>30.05.00</c:v>
                </c:pt>
                <c:pt idx="565">
                  <c:v>31.05.00</c:v>
                </c:pt>
                <c:pt idx="566">
                  <c:v>02.06.00</c:v>
                </c:pt>
                <c:pt idx="567">
                  <c:v>05.06.00</c:v>
                </c:pt>
                <c:pt idx="568">
                  <c:v>06.06.00</c:v>
                </c:pt>
                <c:pt idx="569">
                  <c:v>07.06.00</c:v>
                </c:pt>
                <c:pt idx="570">
                  <c:v>08.06.00</c:v>
                </c:pt>
                <c:pt idx="571">
                  <c:v>09.06.00</c:v>
                </c:pt>
                <c:pt idx="572">
                  <c:v>13.06.00</c:v>
                </c:pt>
                <c:pt idx="573">
                  <c:v>14.06.00</c:v>
                </c:pt>
                <c:pt idx="574">
                  <c:v>15.06.00</c:v>
                </c:pt>
                <c:pt idx="575">
                  <c:v>16.06.00</c:v>
                </c:pt>
                <c:pt idx="576">
                  <c:v>19.06.00</c:v>
                </c:pt>
                <c:pt idx="577">
                  <c:v>20.06.00</c:v>
                </c:pt>
                <c:pt idx="578">
                  <c:v>21.06.00</c:v>
                </c:pt>
                <c:pt idx="579">
                  <c:v>23.06.00</c:v>
                </c:pt>
                <c:pt idx="580">
                  <c:v>26.06.00</c:v>
                </c:pt>
                <c:pt idx="581">
                  <c:v>27.06.00</c:v>
                </c:pt>
                <c:pt idx="582">
                  <c:v>28.06.00</c:v>
                </c:pt>
                <c:pt idx="583">
                  <c:v>29.06.00</c:v>
                </c:pt>
                <c:pt idx="584">
                  <c:v>30.06.00</c:v>
                </c:pt>
                <c:pt idx="585">
                  <c:v>03.07.00</c:v>
                </c:pt>
                <c:pt idx="586">
                  <c:v>04.07.00</c:v>
                </c:pt>
                <c:pt idx="587">
                  <c:v>05.07.00</c:v>
                </c:pt>
                <c:pt idx="588">
                  <c:v>06.07.00</c:v>
                </c:pt>
                <c:pt idx="589">
                  <c:v>07.07.00</c:v>
                </c:pt>
                <c:pt idx="590">
                  <c:v>10.07.00</c:v>
                </c:pt>
                <c:pt idx="591">
                  <c:v>11.07.00</c:v>
                </c:pt>
                <c:pt idx="592">
                  <c:v>12.07.00</c:v>
                </c:pt>
                <c:pt idx="593">
                  <c:v>13.07.00</c:v>
                </c:pt>
                <c:pt idx="594">
                  <c:v>14.07.00</c:v>
                </c:pt>
                <c:pt idx="595">
                  <c:v>17.07.00</c:v>
                </c:pt>
                <c:pt idx="596">
                  <c:v>18.07.00</c:v>
                </c:pt>
                <c:pt idx="597">
                  <c:v>19.07.00</c:v>
                </c:pt>
                <c:pt idx="598">
                  <c:v>20.07.00</c:v>
                </c:pt>
                <c:pt idx="599">
                  <c:v>21.07.00</c:v>
                </c:pt>
                <c:pt idx="600">
                  <c:v>24.07.00</c:v>
                </c:pt>
                <c:pt idx="601">
                  <c:v>25.07.00</c:v>
                </c:pt>
                <c:pt idx="602">
                  <c:v>26.07.00</c:v>
                </c:pt>
                <c:pt idx="603">
                  <c:v>27.07.00</c:v>
                </c:pt>
                <c:pt idx="604">
                  <c:v>28.07.00</c:v>
                </c:pt>
                <c:pt idx="605">
                  <c:v>31.07.00</c:v>
                </c:pt>
                <c:pt idx="606">
                  <c:v>02.08.00</c:v>
                </c:pt>
                <c:pt idx="607">
                  <c:v>03.08.00</c:v>
                </c:pt>
                <c:pt idx="608">
                  <c:v>04.08.00</c:v>
                </c:pt>
                <c:pt idx="609">
                  <c:v>07.08.00</c:v>
                </c:pt>
                <c:pt idx="610">
                  <c:v>08.08.00</c:v>
                </c:pt>
                <c:pt idx="611">
                  <c:v>09.08.00</c:v>
                </c:pt>
                <c:pt idx="612">
                  <c:v>10.08.00</c:v>
                </c:pt>
                <c:pt idx="613">
                  <c:v>11.08.00</c:v>
                </c:pt>
                <c:pt idx="614">
                  <c:v>14.08.00</c:v>
                </c:pt>
                <c:pt idx="615">
                  <c:v>15.08.00</c:v>
                </c:pt>
                <c:pt idx="616">
                  <c:v>16.08.00</c:v>
                </c:pt>
                <c:pt idx="617">
                  <c:v>17.08.00</c:v>
                </c:pt>
                <c:pt idx="618">
                  <c:v>18.08.00</c:v>
                </c:pt>
                <c:pt idx="619">
                  <c:v>21.08.00</c:v>
                </c:pt>
                <c:pt idx="620">
                  <c:v>22.08.00</c:v>
                </c:pt>
                <c:pt idx="621">
                  <c:v>23.08.00</c:v>
                </c:pt>
                <c:pt idx="622">
                  <c:v>24.08.00</c:v>
                </c:pt>
                <c:pt idx="623">
                  <c:v>25.08.00</c:v>
                </c:pt>
                <c:pt idx="624">
                  <c:v>28.08.00</c:v>
                </c:pt>
                <c:pt idx="625">
                  <c:v>29.08.00</c:v>
                </c:pt>
                <c:pt idx="626">
                  <c:v>30.08.00</c:v>
                </c:pt>
                <c:pt idx="627">
                  <c:v>31.08.00</c:v>
                </c:pt>
                <c:pt idx="628">
                  <c:v>01.09.00</c:v>
                </c:pt>
                <c:pt idx="629">
                  <c:v>04.09.00</c:v>
                </c:pt>
                <c:pt idx="630">
                  <c:v>05.09.00</c:v>
                </c:pt>
                <c:pt idx="631">
                  <c:v>06.09.00</c:v>
                </c:pt>
                <c:pt idx="632">
                  <c:v>07.09.00</c:v>
                </c:pt>
                <c:pt idx="633">
                  <c:v>08.09.00</c:v>
                </c:pt>
                <c:pt idx="634">
                  <c:v>11.09.00</c:v>
                </c:pt>
                <c:pt idx="635">
                  <c:v>12.09.00</c:v>
                </c:pt>
                <c:pt idx="636">
                  <c:v>13.09.00</c:v>
                </c:pt>
                <c:pt idx="637">
                  <c:v>14.09.00</c:v>
                </c:pt>
                <c:pt idx="638">
                  <c:v>15.09.00</c:v>
                </c:pt>
                <c:pt idx="639">
                  <c:v>18.09.00</c:v>
                </c:pt>
                <c:pt idx="640">
                  <c:v>19.09.00</c:v>
                </c:pt>
                <c:pt idx="641">
                  <c:v>20.09.00</c:v>
                </c:pt>
                <c:pt idx="642">
                  <c:v>21.09.00</c:v>
                </c:pt>
                <c:pt idx="643">
                  <c:v>22.09.00</c:v>
                </c:pt>
                <c:pt idx="644">
                  <c:v>25.09.00</c:v>
                </c:pt>
                <c:pt idx="645">
                  <c:v>26.09.00</c:v>
                </c:pt>
                <c:pt idx="646">
                  <c:v>27.09.00</c:v>
                </c:pt>
                <c:pt idx="647">
                  <c:v>28.09.00</c:v>
                </c:pt>
                <c:pt idx="648">
                  <c:v>29.09.00</c:v>
                </c:pt>
                <c:pt idx="649">
                  <c:v>02.10.00</c:v>
                </c:pt>
                <c:pt idx="650">
                  <c:v>03.10.00</c:v>
                </c:pt>
                <c:pt idx="651">
                  <c:v>04.10.00</c:v>
                </c:pt>
                <c:pt idx="652">
                  <c:v>05.10.00</c:v>
                </c:pt>
                <c:pt idx="653">
                  <c:v>06.10.00</c:v>
                </c:pt>
                <c:pt idx="654">
                  <c:v>09.10.00</c:v>
                </c:pt>
                <c:pt idx="655">
                  <c:v>10.10.00</c:v>
                </c:pt>
                <c:pt idx="656">
                  <c:v>11.10.00</c:v>
                </c:pt>
                <c:pt idx="657">
                  <c:v>12.10.00</c:v>
                </c:pt>
                <c:pt idx="658">
                  <c:v>13.10.00</c:v>
                </c:pt>
                <c:pt idx="659">
                  <c:v>16.10.00</c:v>
                </c:pt>
                <c:pt idx="660">
                  <c:v>17.10.00</c:v>
                </c:pt>
                <c:pt idx="661">
                  <c:v>18.10.00</c:v>
                </c:pt>
                <c:pt idx="662">
                  <c:v>19.10.00</c:v>
                </c:pt>
                <c:pt idx="663">
                  <c:v>20.10.00</c:v>
                </c:pt>
                <c:pt idx="664">
                  <c:v>23.10.00</c:v>
                </c:pt>
                <c:pt idx="665">
                  <c:v>24.10.00</c:v>
                </c:pt>
                <c:pt idx="666">
                  <c:v>25.10.00</c:v>
                </c:pt>
                <c:pt idx="667">
                  <c:v>26.10.00</c:v>
                </c:pt>
                <c:pt idx="668">
                  <c:v>27.10.00</c:v>
                </c:pt>
                <c:pt idx="669">
                  <c:v>30.10.00</c:v>
                </c:pt>
                <c:pt idx="670">
                  <c:v>31.10.00</c:v>
                </c:pt>
                <c:pt idx="671">
                  <c:v>01.11.00</c:v>
                </c:pt>
                <c:pt idx="672">
                  <c:v>02.11.00</c:v>
                </c:pt>
                <c:pt idx="673">
                  <c:v>03.11.00</c:v>
                </c:pt>
                <c:pt idx="674">
                  <c:v>06.11.00</c:v>
                </c:pt>
                <c:pt idx="675">
                  <c:v>07.11.00</c:v>
                </c:pt>
                <c:pt idx="676">
                  <c:v>08.11.00</c:v>
                </c:pt>
                <c:pt idx="677">
                  <c:v>09.11.00</c:v>
                </c:pt>
                <c:pt idx="678">
                  <c:v>10.11.00</c:v>
                </c:pt>
                <c:pt idx="679">
                  <c:v>13.11.00</c:v>
                </c:pt>
                <c:pt idx="680">
                  <c:v>14.11.00</c:v>
                </c:pt>
                <c:pt idx="681">
                  <c:v>15.11.00</c:v>
                </c:pt>
                <c:pt idx="682">
                  <c:v>16.11.00</c:v>
                </c:pt>
                <c:pt idx="683">
                  <c:v>17.11.00</c:v>
                </c:pt>
                <c:pt idx="684">
                  <c:v>20.11.00</c:v>
                </c:pt>
                <c:pt idx="685">
                  <c:v>21.11.00</c:v>
                </c:pt>
                <c:pt idx="686">
                  <c:v>22.11.00</c:v>
                </c:pt>
                <c:pt idx="687">
                  <c:v>23.11.00</c:v>
                </c:pt>
                <c:pt idx="688">
                  <c:v>24.11.00</c:v>
                </c:pt>
                <c:pt idx="689">
                  <c:v>27.11.00</c:v>
                </c:pt>
                <c:pt idx="690">
                  <c:v>28.11.00</c:v>
                </c:pt>
                <c:pt idx="691">
                  <c:v>29.11.00</c:v>
                </c:pt>
                <c:pt idx="692">
                  <c:v>30.11.00</c:v>
                </c:pt>
                <c:pt idx="693">
                  <c:v>01.12.00</c:v>
                </c:pt>
                <c:pt idx="694">
                  <c:v>04.12.00</c:v>
                </c:pt>
                <c:pt idx="695">
                  <c:v>05.12.00</c:v>
                </c:pt>
                <c:pt idx="696">
                  <c:v>06.12.00</c:v>
                </c:pt>
                <c:pt idx="697">
                  <c:v>07.12.00</c:v>
                </c:pt>
                <c:pt idx="698">
                  <c:v>08.12.00</c:v>
                </c:pt>
                <c:pt idx="699">
                  <c:v>11.12.00</c:v>
                </c:pt>
                <c:pt idx="700">
                  <c:v>12.12.00</c:v>
                </c:pt>
                <c:pt idx="701">
                  <c:v>13.12.00</c:v>
                </c:pt>
                <c:pt idx="702">
                  <c:v>14.12.00</c:v>
                </c:pt>
                <c:pt idx="703">
                  <c:v>15.12.00</c:v>
                </c:pt>
                <c:pt idx="704">
                  <c:v>18.12.00</c:v>
                </c:pt>
                <c:pt idx="705">
                  <c:v>19.12.00</c:v>
                </c:pt>
                <c:pt idx="706">
                  <c:v>20.12.00</c:v>
                </c:pt>
                <c:pt idx="707">
                  <c:v>21.12.00</c:v>
                </c:pt>
                <c:pt idx="708">
                  <c:v>22.12.00</c:v>
                </c:pt>
                <c:pt idx="709">
                  <c:v>27.12.00</c:v>
                </c:pt>
                <c:pt idx="710">
                  <c:v>28.12.00</c:v>
                </c:pt>
                <c:pt idx="711">
                  <c:v>29.12.00</c:v>
                </c:pt>
                <c:pt idx="712">
                  <c:v>02.01.01</c:v>
                </c:pt>
                <c:pt idx="713">
                  <c:v>03.01.01</c:v>
                </c:pt>
                <c:pt idx="714">
                  <c:v>04.01.01</c:v>
                </c:pt>
                <c:pt idx="715">
                  <c:v>05.01.01</c:v>
                </c:pt>
                <c:pt idx="716">
                  <c:v>08.01.01</c:v>
                </c:pt>
                <c:pt idx="717">
                  <c:v>09.01.01</c:v>
                </c:pt>
                <c:pt idx="718">
                  <c:v>10.01.01</c:v>
                </c:pt>
                <c:pt idx="719">
                  <c:v>11.01.01</c:v>
                </c:pt>
                <c:pt idx="720">
                  <c:v>12.01.01</c:v>
                </c:pt>
                <c:pt idx="721">
                  <c:v>15.01.01</c:v>
                </c:pt>
                <c:pt idx="722">
                  <c:v>16.01.01</c:v>
                </c:pt>
                <c:pt idx="723">
                  <c:v>17.01.01</c:v>
                </c:pt>
                <c:pt idx="724">
                  <c:v>18.01.01</c:v>
                </c:pt>
                <c:pt idx="725">
                  <c:v>19.01.01</c:v>
                </c:pt>
                <c:pt idx="726">
                  <c:v>22.01.01</c:v>
                </c:pt>
                <c:pt idx="727">
                  <c:v>23.01.01</c:v>
                </c:pt>
                <c:pt idx="728">
                  <c:v>24.01.01</c:v>
                </c:pt>
                <c:pt idx="729">
                  <c:v>25.01.01</c:v>
                </c:pt>
                <c:pt idx="730">
                  <c:v>26.01.01</c:v>
                </c:pt>
                <c:pt idx="731">
                  <c:v>29.01.01</c:v>
                </c:pt>
                <c:pt idx="732">
                  <c:v>30.01.01</c:v>
                </c:pt>
                <c:pt idx="733">
                  <c:v>31.01.01</c:v>
                </c:pt>
                <c:pt idx="734">
                  <c:v>01.02.01</c:v>
                </c:pt>
                <c:pt idx="735">
                  <c:v>02.02.01</c:v>
                </c:pt>
                <c:pt idx="736">
                  <c:v>05.02.01</c:v>
                </c:pt>
                <c:pt idx="737">
                  <c:v>06.02.01</c:v>
                </c:pt>
                <c:pt idx="738">
                  <c:v>07.02.01</c:v>
                </c:pt>
                <c:pt idx="739">
                  <c:v>08.02.01</c:v>
                </c:pt>
                <c:pt idx="740">
                  <c:v>09.02.01</c:v>
                </c:pt>
                <c:pt idx="741">
                  <c:v>12.02.01</c:v>
                </c:pt>
                <c:pt idx="742">
                  <c:v>13.02.01</c:v>
                </c:pt>
                <c:pt idx="743">
                  <c:v>14.02.01</c:v>
                </c:pt>
                <c:pt idx="744">
                  <c:v>15.02.01</c:v>
                </c:pt>
                <c:pt idx="745">
                  <c:v>16.02.01</c:v>
                </c:pt>
                <c:pt idx="746">
                  <c:v>19.02.01</c:v>
                </c:pt>
                <c:pt idx="747">
                  <c:v>20.02.01</c:v>
                </c:pt>
                <c:pt idx="748">
                  <c:v>21.02.01</c:v>
                </c:pt>
                <c:pt idx="749">
                  <c:v>22.02.01</c:v>
                </c:pt>
                <c:pt idx="750">
                  <c:v>23.02.01</c:v>
                </c:pt>
                <c:pt idx="751">
                  <c:v>26.02.01</c:v>
                </c:pt>
                <c:pt idx="752">
                  <c:v>27.02.01</c:v>
                </c:pt>
                <c:pt idx="753">
                  <c:v>28.02.01</c:v>
                </c:pt>
                <c:pt idx="754">
                  <c:v>01.03.01</c:v>
                </c:pt>
                <c:pt idx="755">
                  <c:v>05.03.01</c:v>
                </c:pt>
                <c:pt idx="756">
                  <c:v>06.03.01</c:v>
                </c:pt>
                <c:pt idx="757">
                  <c:v>07.03.01</c:v>
                </c:pt>
                <c:pt idx="758">
                  <c:v>08.03.01</c:v>
                </c:pt>
                <c:pt idx="759">
                  <c:v>09.03.01</c:v>
                </c:pt>
                <c:pt idx="760">
                  <c:v>12.03.01</c:v>
                </c:pt>
                <c:pt idx="761">
                  <c:v>13.03.01</c:v>
                </c:pt>
                <c:pt idx="762">
                  <c:v>14.03.01</c:v>
                </c:pt>
                <c:pt idx="763">
                  <c:v>15.03.01</c:v>
                </c:pt>
                <c:pt idx="764">
                  <c:v>16.03.01</c:v>
                </c:pt>
                <c:pt idx="765">
                  <c:v>19.03.01</c:v>
                </c:pt>
                <c:pt idx="766">
                  <c:v>20.03.01</c:v>
                </c:pt>
                <c:pt idx="767">
                  <c:v>21.03.01</c:v>
                </c:pt>
                <c:pt idx="768">
                  <c:v>22.03.01</c:v>
                </c:pt>
                <c:pt idx="769">
                  <c:v>23.03.01</c:v>
                </c:pt>
                <c:pt idx="770">
                  <c:v>26.03.01</c:v>
                </c:pt>
                <c:pt idx="771">
                  <c:v>27.03.01</c:v>
                </c:pt>
                <c:pt idx="772">
                  <c:v>28.03.01</c:v>
                </c:pt>
                <c:pt idx="773">
                  <c:v>29.03.01</c:v>
                </c:pt>
                <c:pt idx="774">
                  <c:v>30.03.01</c:v>
                </c:pt>
                <c:pt idx="775">
                  <c:v>02.04.01</c:v>
                </c:pt>
                <c:pt idx="776">
                  <c:v>03.04.01</c:v>
                </c:pt>
                <c:pt idx="777">
                  <c:v>04.04.01</c:v>
                </c:pt>
                <c:pt idx="778">
                  <c:v>05.04.01</c:v>
                </c:pt>
                <c:pt idx="779">
                  <c:v>06.04.01</c:v>
                </c:pt>
                <c:pt idx="780">
                  <c:v>09.04.01</c:v>
                </c:pt>
                <c:pt idx="781">
                  <c:v>10.04.01</c:v>
                </c:pt>
                <c:pt idx="782">
                  <c:v>11.04.01</c:v>
                </c:pt>
                <c:pt idx="783">
                  <c:v>11.04.01</c:v>
                </c:pt>
                <c:pt idx="784">
                  <c:v>12.04.01</c:v>
                </c:pt>
                <c:pt idx="785">
                  <c:v>17.04.01</c:v>
                </c:pt>
                <c:pt idx="786">
                  <c:v>18.04.01</c:v>
                </c:pt>
                <c:pt idx="787">
                  <c:v>19.04.01</c:v>
                </c:pt>
                <c:pt idx="788">
                  <c:v>20.04.01</c:v>
                </c:pt>
                <c:pt idx="789">
                  <c:v>23.04.01</c:v>
                </c:pt>
                <c:pt idx="790">
                  <c:v>24.04.01</c:v>
                </c:pt>
                <c:pt idx="791">
                  <c:v>25.04.01</c:v>
                </c:pt>
                <c:pt idx="792">
                  <c:v>26.04.01</c:v>
                </c:pt>
                <c:pt idx="793">
                  <c:v>27.04.01</c:v>
                </c:pt>
                <c:pt idx="794">
                  <c:v>30.04.01</c:v>
                </c:pt>
                <c:pt idx="795">
                  <c:v>01.05.01</c:v>
                </c:pt>
                <c:pt idx="796">
                  <c:v>02.05.01</c:v>
                </c:pt>
                <c:pt idx="797">
                  <c:v>03.05.01</c:v>
                </c:pt>
                <c:pt idx="798">
                  <c:v>04.05.01</c:v>
                </c:pt>
                <c:pt idx="799">
                  <c:v>07.05.01</c:v>
                </c:pt>
                <c:pt idx="800">
                  <c:v>08.05.01</c:v>
                </c:pt>
                <c:pt idx="801">
                  <c:v>09.05.01</c:v>
                </c:pt>
                <c:pt idx="802">
                  <c:v>10.05.01</c:v>
                </c:pt>
                <c:pt idx="803">
                  <c:v>11.05.01</c:v>
                </c:pt>
                <c:pt idx="804">
                  <c:v>14.05.01</c:v>
                </c:pt>
                <c:pt idx="805">
                  <c:v>15.05.01</c:v>
                </c:pt>
                <c:pt idx="806">
                  <c:v>16.05.01</c:v>
                </c:pt>
                <c:pt idx="807">
                  <c:v>17.05.01</c:v>
                </c:pt>
                <c:pt idx="808">
                  <c:v>18.05.01</c:v>
                </c:pt>
                <c:pt idx="809">
                  <c:v>21.05.01</c:v>
                </c:pt>
                <c:pt idx="810">
                  <c:v>22.05.01</c:v>
                </c:pt>
                <c:pt idx="811">
                  <c:v>23.05.01</c:v>
                </c:pt>
                <c:pt idx="812">
                  <c:v>25.05.01</c:v>
                </c:pt>
                <c:pt idx="813">
                  <c:v>28.05.01</c:v>
                </c:pt>
                <c:pt idx="814">
                  <c:v>29.05.01</c:v>
                </c:pt>
                <c:pt idx="815">
                  <c:v>30.05.01</c:v>
                </c:pt>
                <c:pt idx="816">
                  <c:v>31.05.01</c:v>
                </c:pt>
                <c:pt idx="817">
                  <c:v>01.06.01</c:v>
                </c:pt>
                <c:pt idx="818">
                  <c:v>05.06.01</c:v>
                </c:pt>
                <c:pt idx="819">
                  <c:v>06.06.01</c:v>
                </c:pt>
                <c:pt idx="820">
                  <c:v>07.06.01</c:v>
                </c:pt>
                <c:pt idx="821">
                  <c:v>08.06.01</c:v>
                </c:pt>
                <c:pt idx="822">
                  <c:v>11.06.01</c:v>
                </c:pt>
                <c:pt idx="823">
                  <c:v>12.06.01</c:v>
                </c:pt>
                <c:pt idx="824">
                  <c:v>13.06.01</c:v>
                </c:pt>
                <c:pt idx="825">
                  <c:v>14.06.01</c:v>
                </c:pt>
                <c:pt idx="826">
                  <c:v>15.06.01</c:v>
                </c:pt>
                <c:pt idx="827">
                  <c:v>18.06.01</c:v>
                </c:pt>
                <c:pt idx="828">
                  <c:v>19.06.01</c:v>
                </c:pt>
                <c:pt idx="829">
                  <c:v>20.06.01</c:v>
                </c:pt>
                <c:pt idx="830">
                  <c:v>21.06.01</c:v>
                </c:pt>
                <c:pt idx="831">
                  <c:v>22.06.01</c:v>
                </c:pt>
                <c:pt idx="832">
                  <c:v>25.06.01</c:v>
                </c:pt>
                <c:pt idx="833">
                  <c:v>26.06.01</c:v>
                </c:pt>
                <c:pt idx="834">
                  <c:v>27.06.01</c:v>
                </c:pt>
                <c:pt idx="835">
                  <c:v>28.06.01</c:v>
                </c:pt>
                <c:pt idx="836">
                  <c:v>29.06.01</c:v>
                </c:pt>
                <c:pt idx="837">
                  <c:v>02.07.01</c:v>
                </c:pt>
                <c:pt idx="838">
                  <c:v>03.07.01</c:v>
                </c:pt>
                <c:pt idx="839">
                  <c:v>04.07.01</c:v>
                </c:pt>
                <c:pt idx="840">
                  <c:v>05.07.01</c:v>
                </c:pt>
                <c:pt idx="841">
                  <c:v>06.07.01</c:v>
                </c:pt>
                <c:pt idx="842">
                  <c:v>09.07.01</c:v>
                </c:pt>
                <c:pt idx="843">
                  <c:v>10.07.01</c:v>
                </c:pt>
                <c:pt idx="844">
                  <c:v>11.07.01</c:v>
                </c:pt>
                <c:pt idx="845">
                  <c:v>12.07.01</c:v>
                </c:pt>
                <c:pt idx="846">
                  <c:v>13.07.01</c:v>
                </c:pt>
                <c:pt idx="847">
                  <c:v>16.07.01</c:v>
                </c:pt>
                <c:pt idx="848">
                  <c:v>17.07.01</c:v>
                </c:pt>
                <c:pt idx="849">
                  <c:v>18.07.01</c:v>
                </c:pt>
                <c:pt idx="850">
                  <c:v>19.07.01</c:v>
                </c:pt>
                <c:pt idx="851">
                  <c:v>20.07.01</c:v>
                </c:pt>
                <c:pt idx="852">
                  <c:v>23.07.01</c:v>
                </c:pt>
                <c:pt idx="853">
                  <c:v>24.07.01</c:v>
                </c:pt>
                <c:pt idx="854">
                  <c:v>25.07.01</c:v>
                </c:pt>
                <c:pt idx="855">
                  <c:v>26.07.01</c:v>
                </c:pt>
                <c:pt idx="856">
                  <c:v>27.07.01</c:v>
                </c:pt>
                <c:pt idx="857">
                  <c:v>30.07.01</c:v>
                </c:pt>
                <c:pt idx="858">
                  <c:v>31.07.01</c:v>
                </c:pt>
                <c:pt idx="859">
                  <c:v>02.08.01</c:v>
                </c:pt>
                <c:pt idx="860">
                  <c:v>03.08.01</c:v>
                </c:pt>
                <c:pt idx="861">
                  <c:v>06.08.01</c:v>
                </c:pt>
                <c:pt idx="862">
                  <c:v>07.08.01</c:v>
                </c:pt>
                <c:pt idx="863">
                  <c:v>08.08.01</c:v>
                </c:pt>
                <c:pt idx="864">
                  <c:v>09.08.01</c:v>
                </c:pt>
                <c:pt idx="865">
                  <c:v>10.08.01</c:v>
                </c:pt>
                <c:pt idx="866">
                  <c:v>13.08.01</c:v>
                </c:pt>
                <c:pt idx="867">
                  <c:v>14.08.01</c:v>
                </c:pt>
                <c:pt idx="868">
                  <c:v>15.08.01</c:v>
                </c:pt>
                <c:pt idx="869">
                  <c:v>16.08.01</c:v>
                </c:pt>
                <c:pt idx="870">
                  <c:v>17.08.01</c:v>
                </c:pt>
                <c:pt idx="871">
                  <c:v>20.08.01</c:v>
                </c:pt>
                <c:pt idx="872">
                  <c:v>21.08.01</c:v>
                </c:pt>
                <c:pt idx="873">
                  <c:v>22.08.01</c:v>
                </c:pt>
                <c:pt idx="874">
                  <c:v>23.08.01</c:v>
                </c:pt>
                <c:pt idx="875">
                  <c:v>24.08.01</c:v>
                </c:pt>
                <c:pt idx="876">
                  <c:v>27.08.01</c:v>
                </c:pt>
                <c:pt idx="877">
                  <c:v>28.08.01</c:v>
                </c:pt>
                <c:pt idx="878">
                  <c:v>29.08.01</c:v>
                </c:pt>
                <c:pt idx="879">
                  <c:v>30.08.01</c:v>
                </c:pt>
                <c:pt idx="880">
                  <c:v>31.08.01</c:v>
                </c:pt>
                <c:pt idx="881">
                  <c:v>03.09.01</c:v>
                </c:pt>
                <c:pt idx="882">
                  <c:v>04.09.01</c:v>
                </c:pt>
                <c:pt idx="883">
                  <c:v>05.09.01</c:v>
                </c:pt>
                <c:pt idx="884">
                  <c:v>06.09.01</c:v>
                </c:pt>
                <c:pt idx="885">
                  <c:v>07.09.01</c:v>
                </c:pt>
                <c:pt idx="886">
                  <c:v>10.09.01</c:v>
                </c:pt>
                <c:pt idx="887">
                  <c:v>11.09.01</c:v>
                </c:pt>
                <c:pt idx="888">
                  <c:v>12.09.01</c:v>
                </c:pt>
                <c:pt idx="889">
                  <c:v>13.09.01</c:v>
                </c:pt>
                <c:pt idx="890">
                  <c:v>14.09.01</c:v>
                </c:pt>
                <c:pt idx="891">
                  <c:v>17.09.01</c:v>
                </c:pt>
                <c:pt idx="892">
                  <c:v>18.09.01</c:v>
                </c:pt>
                <c:pt idx="893">
                  <c:v>19.09.01</c:v>
                </c:pt>
                <c:pt idx="894">
                  <c:v>20.09.01</c:v>
                </c:pt>
                <c:pt idx="895">
                  <c:v>21.09.01</c:v>
                </c:pt>
                <c:pt idx="896">
                  <c:v>24.09.01</c:v>
                </c:pt>
                <c:pt idx="897">
                  <c:v>25.09.01</c:v>
                </c:pt>
                <c:pt idx="898">
                  <c:v>26.09.01</c:v>
                </c:pt>
                <c:pt idx="899">
                  <c:v>27.09.01</c:v>
                </c:pt>
                <c:pt idx="900">
                  <c:v>28.09.01</c:v>
                </c:pt>
                <c:pt idx="901">
                  <c:v>01.10.01</c:v>
                </c:pt>
                <c:pt idx="902">
                  <c:v>02.10.01</c:v>
                </c:pt>
                <c:pt idx="903">
                  <c:v>03.10.01</c:v>
                </c:pt>
                <c:pt idx="904">
                  <c:v>04.10.01</c:v>
                </c:pt>
                <c:pt idx="905">
                  <c:v>05.10.01</c:v>
                </c:pt>
                <c:pt idx="906">
                  <c:v>08.10.01</c:v>
                </c:pt>
                <c:pt idx="907">
                  <c:v>09.10.01</c:v>
                </c:pt>
                <c:pt idx="908">
                  <c:v>10.10.01</c:v>
                </c:pt>
                <c:pt idx="909">
                  <c:v>11.10.01</c:v>
                </c:pt>
                <c:pt idx="910">
                  <c:v>12.10.01</c:v>
                </c:pt>
                <c:pt idx="911">
                  <c:v>15.10.01</c:v>
                </c:pt>
                <c:pt idx="912">
                  <c:v>16.10.01</c:v>
                </c:pt>
                <c:pt idx="913">
                  <c:v>17.10.01</c:v>
                </c:pt>
                <c:pt idx="914">
                  <c:v>18.10.01</c:v>
                </c:pt>
                <c:pt idx="915">
                  <c:v>19.10.01</c:v>
                </c:pt>
                <c:pt idx="916">
                  <c:v>22.10.01</c:v>
                </c:pt>
                <c:pt idx="917">
                  <c:v>23.10.01</c:v>
                </c:pt>
                <c:pt idx="918">
                  <c:v>24.10.01</c:v>
                </c:pt>
                <c:pt idx="919">
                  <c:v>25.10.01</c:v>
                </c:pt>
                <c:pt idx="920">
                  <c:v>26.10.01</c:v>
                </c:pt>
                <c:pt idx="921">
                  <c:v>29.10.01</c:v>
                </c:pt>
                <c:pt idx="922">
                  <c:v>30.10.01</c:v>
                </c:pt>
                <c:pt idx="923">
                  <c:v>31.10.01</c:v>
                </c:pt>
                <c:pt idx="924">
                  <c:v>01.11.01</c:v>
                </c:pt>
                <c:pt idx="925">
                  <c:v>02.11.01</c:v>
                </c:pt>
                <c:pt idx="926">
                  <c:v>05.11.01</c:v>
                </c:pt>
                <c:pt idx="927">
                  <c:v>06.11.01</c:v>
                </c:pt>
                <c:pt idx="928">
                  <c:v>07.11.01</c:v>
                </c:pt>
                <c:pt idx="929">
                  <c:v>08.11.01</c:v>
                </c:pt>
                <c:pt idx="930">
                  <c:v>09.11.01</c:v>
                </c:pt>
                <c:pt idx="931">
                  <c:v>12.11.01</c:v>
                </c:pt>
                <c:pt idx="932">
                  <c:v>13.11.01</c:v>
                </c:pt>
                <c:pt idx="933">
                  <c:v>14.11.01</c:v>
                </c:pt>
                <c:pt idx="934">
                  <c:v>15.11.01</c:v>
                </c:pt>
                <c:pt idx="935">
                  <c:v>16.11.01</c:v>
                </c:pt>
                <c:pt idx="936">
                  <c:v>19.11.01</c:v>
                </c:pt>
                <c:pt idx="937">
                  <c:v>20.11.01</c:v>
                </c:pt>
                <c:pt idx="938">
                  <c:v>21.11.01</c:v>
                </c:pt>
                <c:pt idx="939">
                  <c:v>22.11.01</c:v>
                </c:pt>
                <c:pt idx="940">
                  <c:v>23.11.01</c:v>
                </c:pt>
                <c:pt idx="941">
                  <c:v>26.11.01</c:v>
                </c:pt>
                <c:pt idx="942">
                  <c:v>27.11.01</c:v>
                </c:pt>
                <c:pt idx="943">
                  <c:v>28.11.01</c:v>
                </c:pt>
                <c:pt idx="944">
                  <c:v>29.11.01</c:v>
                </c:pt>
                <c:pt idx="945">
                  <c:v>30.11.01</c:v>
                </c:pt>
                <c:pt idx="946">
                  <c:v>03.12.01</c:v>
                </c:pt>
                <c:pt idx="947">
                  <c:v>04.12.01</c:v>
                </c:pt>
                <c:pt idx="948">
                  <c:v>05.12.01</c:v>
                </c:pt>
                <c:pt idx="949">
                  <c:v>06.12.01</c:v>
                </c:pt>
                <c:pt idx="950">
                  <c:v>07.12.01</c:v>
                </c:pt>
                <c:pt idx="951">
                  <c:v>10.12.01</c:v>
                </c:pt>
                <c:pt idx="952">
                  <c:v>11.12.01</c:v>
                </c:pt>
                <c:pt idx="953">
                  <c:v>12.12.01</c:v>
                </c:pt>
                <c:pt idx="954">
                  <c:v>13.12.01</c:v>
                </c:pt>
                <c:pt idx="955">
                  <c:v>14.12.01</c:v>
                </c:pt>
                <c:pt idx="956">
                  <c:v>17.12.01</c:v>
                </c:pt>
                <c:pt idx="957">
                  <c:v>18.12.01</c:v>
                </c:pt>
                <c:pt idx="958">
                  <c:v>19.12.01</c:v>
                </c:pt>
                <c:pt idx="959">
                  <c:v>20.12.01</c:v>
                </c:pt>
                <c:pt idx="960">
                  <c:v>21.12.01</c:v>
                </c:pt>
                <c:pt idx="961">
                  <c:v>24.12.01</c:v>
                </c:pt>
                <c:pt idx="962">
                  <c:v>27.12.01</c:v>
                </c:pt>
                <c:pt idx="963">
                  <c:v>28.12.01</c:v>
                </c:pt>
                <c:pt idx="964">
                  <c:v>31.12.01</c:v>
                </c:pt>
                <c:pt idx="965">
                  <c:v>31.12.01</c:v>
                </c:pt>
                <c:pt idx="966">
                  <c:v>02.01.02</c:v>
                </c:pt>
                <c:pt idx="967">
                  <c:v>03.01.02</c:v>
                </c:pt>
                <c:pt idx="968">
                  <c:v>04.01.02</c:v>
                </c:pt>
                <c:pt idx="969">
                  <c:v>07.01.02</c:v>
                </c:pt>
                <c:pt idx="970">
                  <c:v>08.01.02</c:v>
                </c:pt>
                <c:pt idx="971">
                  <c:v>09.01.02</c:v>
                </c:pt>
                <c:pt idx="972">
                  <c:v>10.01.02</c:v>
                </c:pt>
                <c:pt idx="973">
                  <c:v>11.01.02</c:v>
                </c:pt>
                <c:pt idx="974">
                  <c:v>14.01.02</c:v>
                </c:pt>
                <c:pt idx="975">
                  <c:v>15.01.02</c:v>
                </c:pt>
                <c:pt idx="976">
                  <c:v>16.01.02</c:v>
                </c:pt>
                <c:pt idx="977">
                  <c:v>17.01.02</c:v>
                </c:pt>
                <c:pt idx="978">
                  <c:v>18.01.02</c:v>
                </c:pt>
                <c:pt idx="979">
                  <c:v>21.01.02</c:v>
                </c:pt>
                <c:pt idx="980">
                  <c:v>22.01.02</c:v>
                </c:pt>
                <c:pt idx="981">
                  <c:v>23.01.02</c:v>
                </c:pt>
                <c:pt idx="982">
                  <c:v>24.01.02</c:v>
                </c:pt>
                <c:pt idx="983">
                  <c:v>25.01.02</c:v>
                </c:pt>
                <c:pt idx="984">
                  <c:v>28.01.02</c:v>
                </c:pt>
                <c:pt idx="985">
                  <c:v>29.01.02</c:v>
                </c:pt>
                <c:pt idx="986">
                  <c:v>30.01.02</c:v>
                </c:pt>
                <c:pt idx="987">
                  <c:v>31.01.02</c:v>
                </c:pt>
                <c:pt idx="988">
                  <c:v>01.02.02</c:v>
                </c:pt>
                <c:pt idx="989">
                  <c:v>04.02.02</c:v>
                </c:pt>
                <c:pt idx="990">
                  <c:v>05.02.02</c:v>
                </c:pt>
                <c:pt idx="991">
                  <c:v>06.02.02</c:v>
                </c:pt>
                <c:pt idx="992">
                  <c:v>07.02.02</c:v>
                </c:pt>
                <c:pt idx="993">
                  <c:v>08.02.02</c:v>
                </c:pt>
                <c:pt idx="994">
                  <c:v>11.02.02</c:v>
                </c:pt>
                <c:pt idx="995">
                  <c:v>12.02.02</c:v>
                </c:pt>
                <c:pt idx="996">
                  <c:v>13.02.02</c:v>
                </c:pt>
                <c:pt idx="997">
                  <c:v>14.02.02</c:v>
                </c:pt>
                <c:pt idx="998">
                  <c:v>15.02.02</c:v>
                </c:pt>
                <c:pt idx="999">
                  <c:v>18.02.02</c:v>
                </c:pt>
                <c:pt idx="1000">
                  <c:v>19.02.02</c:v>
                </c:pt>
                <c:pt idx="1001">
                  <c:v>20.02.02</c:v>
                </c:pt>
                <c:pt idx="1002">
                  <c:v>21.02.02</c:v>
                </c:pt>
                <c:pt idx="1003">
                  <c:v>22.02.02</c:v>
                </c:pt>
                <c:pt idx="1004">
                  <c:v>25.02.02</c:v>
                </c:pt>
                <c:pt idx="1005">
                  <c:v>26.02.02</c:v>
                </c:pt>
                <c:pt idx="1006">
                  <c:v>27.02.02</c:v>
                </c:pt>
                <c:pt idx="1007">
                  <c:v>28.02.02</c:v>
                </c:pt>
                <c:pt idx="1008">
                  <c:v>01.03.02</c:v>
                </c:pt>
                <c:pt idx="1009">
                  <c:v>04.03.02</c:v>
                </c:pt>
                <c:pt idx="1010">
                  <c:v>05.03.02</c:v>
                </c:pt>
                <c:pt idx="1011">
                  <c:v>06.03.02</c:v>
                </c:pt>
                <c:pt idx="1012">
                  <c:v>07.03.02</c:v>
                </c:pt>
                <c:pt idx="1013">
                  <c:v>08.03.02</c:v>
                </c:pt>
                <c:pt idx="1014">
                  <c:v>11.03.02</c:v>
                </c:pt>
                <c:pt idx="1015">
                  <c:v>12.03.02</c:v>
                </c:pt>
                <c:pt idx="1016">
                  <c:v>13.03.02</c:v>
                </c:pt>
                <c:pt idx="1017">
                  <c:v>14.03.02</c:v>
                </c:pt>
                <c:pt idx="1018">
                  <c:v>15.03.02</c:v>
                </c:pt>
                <c:pt idx="1019">
                  <c:v>18.03.02</c:v>
                </c:pt>
                <c:pt idx="1020">
                  <c:v>19.03.02</c:v>
                </c:pt>
                <c:pt idx="1021">
                  <c:v>20.03.02</c:v>
                </c:pt>
                <c:pt idx="1022">
                  <c:v>21.03.02</c:v>
                </c:pt>
                <c:pt idx="1023">
                  <c:v>22.03.02</c:v>
                </c:pt>
                <c:pt idx="1024">
                  <c:v>25.03.02</c:v>
                </c:pt>
                <c:pt idx="1025">
                  <c:v>26.03.02</c:v>
                </c:pt>
                <c:pt idx="1026">
                  <c:v>27.03.02</c:v>
                </c:pt>
                <c:pt idx="1027">
                  <c:v>28.03.02</c:v>
                </c:pt>
                <c:pt idx="1028">
                  <c:v>02.04.02</c:v>
                </c:pt>
                <c:pt idx="1029">
                  <c:v>03.04.02</c:v>
                </c:pt>
                <c:pt idx="1030">
                  <c:v>04.04.02</c:v>
                </c:pt>
                <c:pt idx="1031">
                  <c:v>05.04.02</c:v>
                </c:pt>
                <c:pt idx="1032">
                  <c:v>08.04.02</c:v>
                </c:pt>
                <c:pt idx="1033">
                  <c:v>09.04.02</c:v>
                </c:pt>
                <c:pt idx="1034">
                  <c:v>10.04.02</c:v>
                </c:pt>
                <c:pt idx="1035">
                  <c:v>11.04.02</c:v>
                </c:pt>
                <c:pt idx="1036">
                  <c:v>12.04.02</c:v>
                </c:pt>
                <c:pt idx="1037">
                  <c:v>15.04.02</c:v>
                </c:pt>
                <c:pt idx="1038">
                  <c:v>16.04.02</c:v>
                </c:pt>
                <c:pt idx="1039">
                  <c:v>17.04.02</c:v>
                </c:pt>
                <c:pt idx="1040">
                  <c:v>18.04.02</c:v>
                </c:pt>
                <c:pt idx="1041">
                  <c:v>19.04.02</c:v>
                </c:pt>
                <c:pt idx="1042">
                  <c:v>22.04.02</c:v>
                </c:pt>
                <c:pt idx="1043">
                  <c:v>23.04.02</c:v>
                </c:pt>
                <c:pt idx="1044">
                  <c:v>24.04.02</c:v>
                </c:pt>
                <c:pt idx="1045">
                  <c:v>25.04.02</c:v>
                </c:pt>
                <c:pt idx="1046">
                  <c:v>26.04.02</c:v>
                </c:pt>
                <c:pt idx="1047">
                  <c:v>29.04.02</c:v>
                </c:pt>
                <c:pt idx="1048">
                  <c:v>30.04.02</c:v>
                </c:pt>
                <c:pt idx="1049">
                  <c:v>01.05.02</c:v>
                </c:pt>
                <c:pt idx="1050">
                  <c:v>02.05.02</c:v>
                </c:pt>
                <c:pt idx="1051">
                  <c:v>03.05.02</c:v>
                </c:pt>
                <c:pt idx="1052">
                  <c:v>06.05.02</c:v>
                </c:pt>
                <c:pt idx="1053">
                  <c:v>07.05.02</c:v>
                </c:pt>
                <c:pt idx="1054">
                  <c:v>08.05.02</c:v>
                </c:pt>
                <c:pt idx="1055">
                  <c:v>10.05.02</c:v>
                </c:pt>
                <c:pt idx="1056">
                  <c:v>13.05.02</c:v>
                </c:pt>
                <c:pt idx="1057">
                  <c:v>14.05.02</c:v>
                </c:pt>
                <c:pt idx="1058">
                  <c:v>15.05.02</c:v>
                </c:pt>
                <c:pt idx="1059">
                  <c:v>16.05.02</c:v>
                </c:pt>
                <c:pt idx="1060">
                  <c:v>17.05.02</c:v>
                </c:pt>
                <c:pt idx="1061">
                  <c:v>21.05.02</c:v>
                </c:pt>
                <c:pt idx="1062">
                  <c:v>22.05.02</c:v>
                </c:pt>
                <c:pt idx="1063">
                  <c:v>23.05.02</c:v>
                </c:pt>
                <c:pt idx="1064">
                  <c:v>24.05.02</c:v>
                </c:pt>
                <c:pt idx="1065">
                  <c:v>27.05.02</c:v>
                </c:pt>
                <c:pt idx="1066">
                  <c:v>28.05.02</c:v>
                </c:pt>
                <c:pt idx="1067">
                  <c:v>29.05.02</c:v>
                </c:pt>
                <c:pt idx="1068">
                  <c:v>30.05.02</c:v>
                </c:pt>
                <c:pt idx="1069">
                  <c:v>31.05.02</c:v>
                </c:pt>
                <c:pt idx="1070">
                  <c:v>03.06.02</c:v>
                </c:pt>
                <c:pt idx="1071">
                  <c:v>04.06.02</c:v>
                </c:pt>
                <c:pt idx="1072">
                  <c:v>05.06.02</c:v>
                </c:pt>
                <c:pt idx="1073">
                  <c:v>06.06.02</c:v>
                </c:pt>
                <c:pt idx="1074">
                  <c:v>07.06.02</c:v>
                </c:pt>
                <c:pt idx="1075">
                  <c:v>10.06.02</c:v>
                </c:pt>
                <c:pt idx="1076">
                  <c:v>11.06.02</c:v>
                </c:pt>
                <c:pt idx="1077">
                  <c:v>12.06.02</c:v>
                </c:pt>
                <c:pt idx="1078">
                  <c:v>13.06.02</c:v>
                </c:pt>
                <c:pt idx="1079">
                  <c:v>14.06.02</c:v>
                </c:pt>
                <c:pt idx="1080">
                  <c:v>17.06.02</c:v>
                </c:pt>
                <c:pt idx="1081">
                  <c:v>18.06.02</c:v>
                </c:pt>
                <c:pt idx="1082">
                  <c:v>19.06.02</c:v>
                </c:pt>
                <c:pt idx="1083">
                  <c:v>20.06.02</c:v>
                </c:pt>
                <c:pt idx="1084">
                  <c:v>21.06.02</c:v>
                </c:pt>
                <c:pt idx="1085">
                  <c:v>24.06.02</c:v>
                </c:pt>
                <c:pt idx="1086">
                  <c:v>25.06.02</c:v>
                </c:pt>
                <c:pt idx="1087">
                  <c:v>26.06.02</c:v>
                </c:pt>
                <c:pt idx="1088">
                  <c:v>27.06.02</c:v>
                </c:pt>
                <c:pt idx="1089">
                  <c:v>28.06.02</c:v>
                </c:pt>
                <c:pt idx="1090">
                  <c:v>01.07.02</c:v>
                </c:pt>
                <c:pt idx="1091">
                  <c:v>02.07.02</c:v>
                </c:pt>
                <c:pt idx="1092">
                  <c:v>03.07.02</c:v>
                </c:pt>
                <c:pt idx="1093">
                  <c:v>04.07.02</c:v>
                </c:pt>
                <c:pt idx="1094">
                  <c:v>05.07.02</c:v>
                </c:pt>
                <c:pt idx="1095">
                  <c:v>08.07.02</c:v>
                </c:pt>
                <c:pt idx="1096">
                  <c:v>09.07.02</c:v>
                </c:pt>
                <c:pt idx="1097">
                  <c:v>10.07.02</c:v>
                </c:pt>
                <c:pt idx="1098">
                  <c:v>11.07.02</c:v>
                </c:pt>
                <c:pt idx="1099">
                  <c:v>12.07.02</c:v>
                </c:pt>
                <c:pt idx="1100">
                  <c:v>15.07.02</c:v>
                </c:pt>
                <c:pt idx="1101">
                  <c:v>16.07.02</c:v>
                </c:pt>
                <c:pt idx="1102">
                  <c:v>17.07.02</c:v>
                </c:pt>
                <c:pt idx="1103">
                  <c:v>18.07.02</c:v>
                </c:pt>
                <c:pt idx="1104">
                  <c:v>19.07.02</c:v>
                </c:pt>
                <c:pt idx="1105">
                  <c:v>22.07.02</c:v>
                </c:pt>
                <c:pt idx="1106">
                  <c:v>23.07.02</c:v>
                </c:pt>
                <c:pt idx="1107">
                  <c:v>24.07.02</c:v>
                </c:pt>
                <c:pt idx="1108">
                  <c:v>25.07.02</c:v>
                </c:pt>
                <c:pt idx="1109">
                  <c:v>26.07.02</c:v>
                </c:pt>
                <c:pt idx="1110">
                  <c:v>30.07.02</c:v>
                </c:pt>
                <c:pt idx="1111">
                  <c:v>31.07.02</c:v>
                </c:pt>
                <c:pt idx="1112">
                  <c:v>01.08.02</c:v>
                </c:pt>
                <c:pt idx="1113">
                  <c:v>02.08.02</c:v>
                </c:pt>
                <c:pt idx="1114">
                  <c:v>05.08.02</c:v>
                </c:pt>
                <c:pt idx="1115">
                  <c:v>06.08.02</c:v>
                </c:pt>
                <c:pt idx="1116">
                  <c:v>07.08.02</c:v>
                </c:pt>
                <c:pt idx="1117">
                  <c:v>09.08.02</c:v>
                </c:pt>
                <c:pt idx="1118">
                  <c:v>12.08.02</c:v>
                </c:pt>
                <c:pt idx="1119">
                  <c:v>13.08.02</c:v>
                </c:pt>
                <c:pt idx="1120">
                  <c:v>14.08.02</c:v>
                </c:pt>
                <c:pt idx="1121">
                  <c:v>15.08.02</c:v>
                </c:pt>
                <c:pt idx="1122">
                  <c:v>16.08.02</c:v>
                </c:pt>
                <c:pt idx="1123">
                  <c:v>19.08.02</c:v>
                </c:pt>
                <c:pt idx="1124">
                  <c:v>20.08.02</c:v>
                </c:pt>
                <c:pt idx="1125">
                  <c:v>21.08.02</c:v>
                </c:pt>
                <c:pt idx="1126">
                  <c:v>22.08.02</c:v>
                </c:pt>
                <c:pt idx="1127">
                  <c:v>23.08.02</c:v>
                </c:pt>
                <c:pt idx="1128">
                  <c:v>26.08.02</c:v>
                </c:pt>
                <c:pt idx="1129">
                  <c:v>27.08.02</c:v>
                </c:pt>
                <c:pt idx="1130">
                  <c:v>28.08.02</c:v>
                </c:pt>
                <c:pt idx="1131">
                  <c:v>29.08.02</c:v>
                </c:pt>
                <c:pt idx="1132">
                  <c:v>30.08.02</c:v>
                </c:pt>
                <c:pt idx="1133">
                  <c:v>02.09.02</c:v>
                </c:pt>
                <c:pt idx="1134">
                  <c:v>03.09.02</c:v>
                </c:pt>
                <c:pt idx="1135">
                  <c:v>04.09.02</c:v>
                </c:pt>
                <c:pt idx="1136">
                  <c:v>05.09.02</c:v>
                </c:pt>
                <c:pt idx="1137">
                  <c:v>06.09.02</c:v>
                </c:pt>
                <c:pt idx="1138">
                  <c:v>09.09.02</c:v>
                </c:pt>
                <c:pt idx="1139">
                  <c:v>10.09.02</c:v>
                </c:pt>
                <c:pt idx="1140">
                  <c:v>11.09.02</c:v>
                </c:pt>
                <c:pt idx="1141">
                  <c:v>12.09.02</c:v>
                </c:pt>
                <c:pt idx="1142">
                  <c:v>13.09.02</c:v>
                </c:pt>
                <c:pt idx="1143">
                  <c:v>16.09.02</c:v>
                </c:pt>
                <c:pt idx="1144">
                  <c:v>17.09.02</c:v>
                </c:pt>
                <c:pt idx="1145">
                  <c:v>18.09.02</c:v>
                </c:pt>
                <c:pt idx="1146">
                  <c:v>19.09.02</c:v>
                </c:pt>
                <c:pt idx="1147">
                  <c:v>20.09.02</c:v>
                </c:pt>
                <c:pt idx="1148">
                  <c:v>23.09.02</c:v>
                </c:pt>
                <c:pt idx="1149">
                  <c:v>24.09.02</c:v>
                </c:pt>
                <c:pt idx="1150">
                  <c:v>25.09.02</c:v>
                </c:pt>
                <c:pt idx="1151">
                  <c:v>26.09.02</c:v>
                </c:pt>
                <c:pt idx="1152">
                  <c:v>27.09.02</c:v>
                </c:pt>
                <c:pt idx="1153">
                  <c:v>30.09.02</c:v>
                </c:pt>
                <c:pt idx="1154">
                  <c:v>01.10.02</c:v>
                </c:pt>
                <c:pt idx="1155">
                  <c:v>02.10.02</c:v>
                </c:pt>
                <c:pt idx="1156">
                  <c:v>04.10.02</c:v>
                </c:pt>
                <c:pt idx="1157">
                  <c:v>07.10.02</c:v>
                </c:pt>
                <c:pt idx="1158">
                  <c:v>08.10.02</c:v>
                </c:pt>
                <c:pt idx="1159">
                  <c:v>09.10.02</c:v>
                </c:pt>
                <c:pt idx="1160">
                  <c:v>10.10.02</c:v>
                </c:pt>
                <c:pt idx="1161">
                  <c:v>11.10.02</c:v>
                </c:pt>
                <c:pt idx="1162">
                  <c:v>14.10.02</c:v>
                </c:pt>
                <c:pt idx="1163">
                  <c:v>15.10.02</c:v>
                </c:pt>
                <c:pt idx="1164">
                  <c:v>16.10.02</c:v>
                </c:pt>
                <c:pt idx="1165">
                  <c:v>17.10.02</c:v>
                </c:pt>
                <c:pt idx="1166">
                  <c:v>18.10.02</c:v>
                </c:pt>
                <c:pt idx="1167">
                  <c:v>21.10.02</c:v>
                </c:pt>
                <c:pt idx="1168">
                  <c:v>22.10.02</c:v>
                </c:pt>
                <c:pt idx="1169">
                  <c:v>23.10.02</c:v>
                </c:pt>
                <c:pt idx="1170">
                  <c:v>24.10.02</c:v>
                </c:pt>
                <c:pt idx="1171">
                  <c:v>25.10.02</c:v>
                </c:pt>
                <c:pt idx="1172">
                  <c:v>28.10.02</c:v>
                </c:pt>
                <c:pt idx="1173">
                  <c:v>29.10.02</c:v>
                </c:pt>
                <c:pt idx="1174">
                  <c:v>30.10.02</c:v>
                </c:pt>
                <c:pt idx="1175">
                  <c:v>31.10.02</c:v>
                </c:pt>
                <c:pt idx="1176">
                  <c:v>01.11.02</c:v>
                </c:pt>
                <c:pt idx="1177">
                  <c:v>04.11.02</c:v>
                </c:pt>
                <c:pt idx="1178">
                  <c:v>05.11.02</c:v>
                </c:pt>
                <c:pt idx="1179">
                  <c:v>06.11.02</c:v>
                </c:pt>
                <c:pt idx="1180">
                  <c:v>07.11.02</c:v>
                </c:pt>
                <c:pt idx="1181">
                  <c:v>08.11.02</c:v>
                </c:pt>
                <c:pt idx="1182">
                  <c:v>11.11.02</c:v>
                </c:pt>
                <c:pt idx="1183">
                  <c:v>12.11.02</c:v>
                </c:pt>
                <c:pt idx="1184">
                  <c:v>13.11.02</c:v>
                </c:pt>
                <c:pt idx="1185">
                  <c:v>14.11.02</c:v>
                </c:pt>
                <c:pt idx="1186">
                  <c:v>15.11.02</c:v>
                </c:pt>
                <c:pt idx="1187">
                  <c:v>18.11.02</c:v>
                </c:pt>
                <c:pt idx="1188">
                  <c:v>19.11.02</c:v>
                </c:pt>
                <c:pt idx="1189">
                  <c:v>20.11.02</c:v>
                </c:pt>
                <c:pt idx="1190">
                  <c:v>21.11.02</c:v>
                </c:pt>
                <c:pt idx="1191">
                  <c:v>22.11.02</c:v>
                </c:pt>
                <c:pt idx="1192">
                  <c:v>25.11.02</c:v>
                </c:pt>
                <c:pt idx="1193">
                  <c:v>26.11.02</c:v>
                </c:pt>
                <c:pt idx="1194">
                  <c:v>27.11.02</c:v>
                </c:pt>
                <c:pt idx="1195">
                  <c:v>28.11.02</c:v>
                </c:pt>
                <c:pt idx="1196">
                  <c:v>29.11.02</c:v>
                </c:pt>
                <c:pt idx="1197">
                  <c:v>02.12.02</c:v>
                </c:pt>
                <c:pt idx="1198">
                  <c:v>03.12.02</c:v>
                </c:pt>
                <c:pt idx="1199">
                  <c:v>04.12.02</c:v>
                </c:pt>
                <c:pt idx="1200">
                  <c:v>05.12.02</c:v>
                </c:pt>
                <c:pt idx="1201">
                  <c:v>06.12.02</c:v>
                </c:pt>
                <c:pt idx="1202">
                  <c:v>09.12.02</c:v>
                </c:pt>
                <c:pt idx="1203">
                  <c:v>10.12.02</c:v>
                </c:pt>
                <c:pt idx="1204">
                  <c:v>11.12.02</c:v>
                </c:pt>
                <c:pt idx="1205">
                  <c:v>12.12.02</c:v>
                </c:pt>
                <c:pt idx="1206">
                  <c:v>13.12.02</c:v>
                </c:pt>
                <c:pt idx="1207">
                  <c:v>16.12.02</c:v>
                </c:pt>
                <c:pt idx="1208">
                  <c:v>17.12.02</c:v>
                </c:pt>
                <c:pt idx="1209">
                  <c:v>18.12.02</c:v>
                </c:pt>
                <c:pt idx="1210">
                  <c:v>20.12.02</c:v>
                </c:pt>
                <c:pt idx="1211">
                  <c:v>23.12.02</c:v>
                </c:pt>
                <c:pt idx="1212">
                  <c:v>24.12.02</c:v>
                </c:pt>
                <c:pt idx="1213">
                  <c:v>30.12.02</c:v>
                </c:pt>
                <c:pt idx="1214">
                  <c:v>31.12.02</c:v>
                </c:pt>
                <c:pt idx="1215">
                  <c:v>03.01.03</c:v>
                </c:pt>
                <c:pt idx="1216">
                  <c:v>06.01.03</c:v>
                </c:pt>
                <c:pt idx="1217">
                  <c:v>07.01.03</c:v>
                </c:pt>
                <c:pt idx="1218">
                  <c:v>08.01.03</c:v>
                </c:pt>
                <c:pt idx="1219">
                  <c:v>09.01.03</c:v>
                </c:pt>
                <c:pt idx="1220">
                  <c:v>10.01.03</c:v>
                </c:pt>
                <c:pt idx="1221">
                  <c:v>13.01.03</c:v>
                </c:pt>
                <c:pt idx="1222">
                  <c:v>14.01.03</c:v>
                </c:pt>
                <c:pt idx="1223">
                  <c:v>15.01.03</c:v>
                </c:pt>
                <c:pt idx="1224">
                  <c:v>16.01.03</c:v>
                </c:pt>
                <c:pt idx="1225">
                  <c:v>20.01.03</c:v>
                </c:pt>
                <c:pt idx="1226">
                  <c:v>21.01.03</c:v>
                </c:pt>
                <c:pt idx="1227">
                  <c:v>22.01.03</c:v>
                </c:pt>
                <c:pt idx="1228">
                  <c:v>23.01.03</c:v>
                </c:pt>
                <c:pt idx="1229">
                  <c:v>24.01.03</c:v>
                </c:pt>
                <c:pt idx="1230">
                  <c:v>27.01.03</c:v>
                </c:pt>
                <c:pt idx="1231">
                  <c:v>29.01.03</c:v>
                </c:pt>
                <c:pt idx="1232">
                  <c:v>30.01.03</c:v>
                </c:pt>
                <c:pt idx="1233">
                  <c:v>03.02.03</c:v>
                </c:pt>
                <c:pt idx="1234">
                  <c:v>04.02.03</c:v>
                </c:pt>
                <c:pt idx="1235">
                  <c:v>05.02.03</c:v>
                </c:pt>
                <c:pt idx="1236">
                  <c:v>06.02.03</c:v>
                </c:pt>
                <c:pt idx="1237">
                  <c:v>10.02.03</c:v>
                </c:pt>
                <c:pt idx="1238">
                  <c:v>11.02.03</c:v>
                </c:pt>
                <c:pt idx="1239">
                  <c:v>12.02.03</c:v>
                </c:pt>
                <c:pt idx="1240">
                  <c:v>13.02.03</c:v>
                </c:pt>
                <c:pt idx="1241">
                  <c:v>14.02.03</c:v>
                </c:pt>
                <c:pt idx="1242">
                  <c:v>17.02.03</c:v>
                </c:pt>
                <c:pt idx="1243">
                  <c:v>18.02.03</c:v>
                </c:pt>
                <c:pt idx="1244">
                  <c:v>19.02.03</c:v>
                </c:pt>
                <c:pt idx="1245">
                  <c:v>20.02.03</c:v>
                </c:pt>
                <c:pt idx="1246">
                  <c:v>21.02.03</c:v>
                </c:pt>
                <c:pt idx="1247">
                  <c:v>24.02.03</c:v>
                </c:pt>
                <c:pt idx="1248">
                  <c:v>25.02.03</c:v>
                </c:pt>
                <c:pt idx="1249">
                  <c:v>26.02.03</c:v>
                </c:pt>
                <c:pt idx="1250">
                  <c:v>27.02.03</c:v>
                </c:pt>
                <c:pt idx="1251">
                  <c:v>28.02.03</c:v>
                </c:pt>
                <c:pt idx="1252">
                  <c:v>03.03.03</c:v>
                </c:pt>
                <c:pt idx="1253">
                  <c:v>04.03.03</c:v>
                </c:pt>
                <c:pt idx="1254">
                  <c:v>05.03.03</c:v>
                </c:pt>
                <c:pt idx="1255">
                  <c:v>06.03.03</c:v>
                </c:pt>
                <c:pt idx="1256">
                  <c:v>07.03.03</c:v>
                </c:pt>
                <c:pt idx="1257">
                  <c:v>10.03.03</c:v>
                </c:pt>
                <c:pt idx="1258">
                  <c:v>11.03.03</c:v>
                </c:pt>
                <c:pt idx="1259">
                  <c:v>12.03.03</c:v>
                </c:pt>
                <c:pt idx="1260">
                  <c:v>13.03.03</c:v>
                </c:pt>
                <c:pt idx="1261">
                  <c:v>14.03.03</c:v>
                </c:pt>
                <c:pt idx="1262">
                  <c:v>17.03.03</c:v>
                </c:pt>
                <c:pt idx="1263">
                  <c:v>18.03.03</c:v>
                </c:pt>
                <c:pt idx="1264">
                  <c:v>19.03.03</c:v>
                </c:pt>
                <c:pt idx="1265">
                  <c:v>20.03.03</c:v>
                </c:pt>
                <c:pt idx="1266">
                  <c:v>21.03.03</c:v>
                </c:pt>
                <c:pt idx="1267">
                  <c:v>24.03.03</c:v>
                </c:pt>
                <c:pt idx="1268">
                  <c:v>25.03.03</c:v>
                </c:pt>
                <c:pt idx="1269">
                  <c:v>26.03.03</c:v>
                </c:pt>
                <c:pt idx="1270">
                  <c:v>27.03.03</c:v>
                </c:pt>
                <c:pt idx="1271">
                  <c:v>28.03.03</c:v>
                </c:pt>
                <c:pt idx="1272">
                  <c:v>31.03.03</c:v>
                </c:pt>
                <c:pt idx="1273">
                  <c:v>01.04.03</c:v>
                </c:pt>
                <c:pt idx="1274">
                  <c:v>02.04.03</c:v>
                </c:pt>
                <c:pt idx="1275">
                  <c:v>03.04.03</c:v>
                </c:pt>
                <c:pt idx="1276">
                  <c:v>04.04.03</c:v>
                </c:pt>
                <c:pt idx="1277">
                  <c:v>07.04.03</c:v>
                </c:pt>
                <c:pt idx="1278">
                  <c:v>08.04.03</c:v>
                </c:pt>
                <c:pt idx="1279">
                  <c:v>09.04.03</c:v>
                </c:pt>
                <c:pt idx="1280">
                  <c:v>10.04.03</c:v>
                </c:pt>
                <c:pt idx="1281">
                  <c:v>11.04.03</c:v>
                </c:pt>
                <c:pt idx="1282">
                  <c:v>14.04.03</c:v>
                </c:pt>
                <c:pt idx="1283">
                  <c:v>15.04.03</c:v>
                </c:pt>
                <c:pt idx="1284">
                  <c:v>16.04.03</c:v>
                </c:pt>
                <c:pt idx="1285">
                  <c:v>17.04.03</c:v>
                </c:pt>
                <c:pt idx="1286">
                  <c:v>22.04.03</c:v>
                </c:pt>
                <c:pt idx="1287">
                  <c:v>23.04.03</c:v>
                </c:pt>
                <c:pt idx="1288">
                  <c:v>24.04.03</c:v>
                </c:pt>
                <c:pt idx="1289">
                  <c:v>25.04.03</c:v>
                </c:pt>
                <c:pt idx="1290">
                  <c:v>28.04.03</c:v>
                </c:pt>
                <c:pt idx="1291">
                  <c:v>29.04.03</c:v>
                </c:pt>
                <c:pt idx="1292">
                  <c:v>30.04.03</c:v>
                </c:pt>
                <c:pt idx="1293">
                  <c:v>02.05.03</c:v>
                </c:pt>
                <c:pt idx="1294">
                  <c:v>05.05.03</c:v>
                </c:pt>
                <c:pt idx="1295">
                  <c:v>06.05.03</c:v>
                </c:pt>
                <c:pt idx="1296">
                  <c:v>07.05.03</c:v>
                </c:pt>
                <c:pt idx="1297">
                  <c:v>08.05.03</c:v>
                </c:pt>
                <c:pt idx="1298">
                  <c:v>09.05.03</c:v>
                </c:pt>
                <c:pt idx="1299">
                  <c:v>12.05.03</c:v>
                </c:pt>
                <c:pt idx="1300">
                  <c:v>13.05.03</c:v>
                </c:pt>
                <c:pt idx="1301">
                  <c:v>14.05.03</c:v>
                </c:pt>
                <c:pt idx="1302">
                  <c:v>15.05.03</c:v>
                </c:pt>
                <c:pt idx="1303">
                  <c:v>16.05.03</c:v>
                </c:pt>
                <c:pt idx="1304">
                  <c:v>19.05.03</c:v>
                </c:pt>
                <c:pt idx="1305">
                  <c:v>20.05.03</c:v>
                </c:pt>
                <c:pt idx="1306">
                  <c:v>21.05.03</c:v>
                </c:pt>
                <c:pt idx="1307">
                  <c:v>22.05.03</c:v>
                </c:pt>
                <c:pt idx="1308">
                  <c:v>23.05.03</c:v>
                </c:pt>
                <c:pt idx="1309">
                  <c:v>26.05.03</c:v>
                </c:pt>
                <c:pt idx="1310">
                  <c:v>27.05.03</c:v>
                </c:pt>
                <c:pt idx="1311">
                  <c:v>28.05.03</c:v>
                </c:pt>
                <c:pt idx="1312">
                  <c:v>30.05.03</c:v>
                </c:pt>
                <c:pt idx="1313">
                  <c:v>02.06.03</c:v>
                </c:pt>
                <c:pt idx="1314">
                  <c:v>03.06.03</c:v>
                </c:pt>
                <c:pt idx="1315">
                  <c:v>04.06.03</c:v>
                </c:pt>
                <c:pt idx="1316">
                  <c:v>05.06.03</c:v>
                </c:pt>
                <c:pt idx="1317">
                  <c:v>06.06.03</c:v>
                </c:pt>
                <c:pt idx="1318">
                  <c:v>10.06.03</c:v>
                </c:pt>
                <c:pt idx="1319">
                  <c:v>11.06.03</c:v>
                </c:pt>
                <c:pt idx="1320">
                  <c:v>12.06.03</c:v>
                </c:pt>
                <c:pt idx="1321">
                  <c:v>13.06.03</c:v>
                </c:pt>
                <c:pt idx="1322">
                  <c:v>16.06.03</c:v>
                </c:pt>
                <c:pt idx="1323">
                  <c:v>17.06.03</c:v>
                </c:pt>
                <c:pt idx="1324">
                  <c:v>18.06.03</c:v>
                </c:pt>
                <c:pt idx="1325">
                  <c:v>19.06.03</c:v>
                </c:pt>
                <c:pt idx="1326">
                  <c:v>20.06.03</c:v>
                </c:pt>
                <c:pt idx="1327">
                  <c:v>23.06.03</c:v>
                </c:pt>
                <c:pt idx="1328">
                  <c:v>24.06.03</c:v>
                </c:pt>
                <c:pt idx="1329">
                  <c:v>25.06.03</c:v>
                </c:pt>
                <c:pt idx="1330">
                  <c:v>26.06.03</c:v>
                </c:pt>
                <c:pt idx="1331">
                  <c:v>27.06.03</c:v>
                </c:pt>
                <c:pt idx="1332">
                  <c:v>30.06.03</c:v>
                </c:pt>
                <c:pt idx="1333">
                  <c:v>01.07.03</c:v>
                </c:pt>
                <c:pt idx="1334">
                  <c:v>02.07.03</c:v>
                </c:pt>
                <c:pt idx="1335">
                  <c:v>03.07.03</c:v>
                </c:pt>
                <c:pt idx="1336">
                  <c:v>04.07.03</c:v>
                </c:pt>
                <c:pt idx="1337">
                  <c:v>07.07.03</c:v>
                </c:pt>
                <c:pt idx="1338">
                  <c:v>08.07.03</c:v>
                </c:pt>
                <c:pt idx="1339">
                  <c:v>09.07.03</c:v>
                </c:pt>
                <c:pt idx="1340">
                  <c:v>10.07.03</c:v>
                </c:pt>
                <c:pt idx="1341">
                  <c:v>11.07.03</c:v>
                </c:pt>
                <c:pt idx="1342">
                  <c:v>14.07.03</c:v>
                </c:pt>
                <c:pt idx="1343">
                  <c:v>15.07.03</c:v>
                </c:pt>
                <c:pt idx="1344">
                  <c:v>16.07.03</c:v>
                </c:pt>
                <c:pt idx="1345">
                  <c:v>17.07.03</c:v>
                </c:pt>
                <c:pt idx="1346">
                  <c:v>18.07.03</c:v>
                </c:pt>
                <c:pt idx="1347">
                  <c:v>21.07.03</c:v>
                </c:pt>
                <c:pt idx="1348">
                  <c:v>22.07.03</c:v>
                </c:pt>
                <c:pt idx="1349">
                  <c:v>23.07.03</c:v>
                </c:pt>
                <c:pt idx="1350">
                  <c:v>24.07.03</c:v>
                </c:pt>
                <c:pt idx="1351">
                  <c:v>25.07.03</c:v>
                </c:pt>
                <c:pt idx="1352">
                  <c:v>28.07.03</c:v>
                </c:pt>
                <c:pt idx="1353">
                  <c:v>29.07.03</c:v>
                </c:pt>
                <c:pt idx="1354">
                  <c:v>30.07.03</c:v>
                </c:pt>
                <c:pt idx="1355">
                  <c:v>31.07.03</c:v>
                </c:pt>
                <c:pt idx="1356">
                  <c:v>04.08.03</c:v>
                </c:pt>
                <c:pt idx="1357">
                  <c:v>05.08.03</c:v>
                </c:pt>
                <c:pt idx="1358">
                  <c:v>06.08.03</c:v>
                </c:pt>
                <c:pt idx="1359">
                  <c:v>07.08.03</c:v>
                </c:pt>
                <c:pt idx="1360">
                  <c:v>08.08.03</c:v>
                </c:pt>
                <c:pt idx="1361">
                  <c:v>11.08.03</c:v>
                </c:pt>
                <c:pt idx="1362">
                  <c:v>12.08.03</c:v>
                </c:pt>
                <c:pt idx="1363">
                  <c:v>13.08.03</c:v>
                </c:pt>
                <c:pt idx="1364">
                  <c:v>14.08.03</c:v>
                </c:pt>
                <c:pt idx="1365">
                  <c:v>18.08.03</c:v>
                </c:pt>
                <c:pt idx="1366">
                  <c:v>19.08.03</c:v>
                </c:pt>
                <c:pt idx="1367">
                  <c:v>20.08.03</c:v>
                </c:pt>
                <c:pt idx="1368">
                  <c:v>21.08.03</c:v>
                </c:pt>
                <c:pt idx="1369">
                  <c:v>22.08.03</c:v>
                </c:pt>
                <c:pt idx="1370">
                  <c:v>25.08.03</c:v>
                </c:pt>
                <c:pt idx="1371">
                  <c:v>26.08.03</c:v>
                </c:pt>
                <c:pt idx="1372">
                  <c:v>27.08.03</c:v>
                </c:pt>
                <c:pt idx="1373">
                  <c:v>28.08.03</c:v>
                </c:pt>
                <c:pt idx="1374">
                  <c:v>29.08.03</c:v>
                </c:pt>
                <c:pt idx="1375">
                  <c:v>01.09.03</c:v>
                </c:pt>
                <c:pt idx="1376">
                  <c:v>02.09.03</c:v>
                </c:pt>
                <c:pt idx="1377">
                  <c:v>03.09.03</c:v>
                </c:pt>
                <c:pt idx="1378">
                  <c:v>04.09.03</c:v>
                </c:pt>
                <c:pt idx="1379">
                  <c:v>05.09.03</c:v>
                </c:pt>
                <c:pt idx="1380">
                  <c:v>08.09.03</c:v>
                </c:pt>
                <c:pt idx="1381">
                  <c:v>09.09.03</c:v>
                </c:pt>
                <c:pt idx="1382">
                  <c:v>10.09.03</c:v>
                </c:pt>
                <c:pt idx="1383">
                  <c:v>11.09.03</c:v>
                </c:pt>
                <c:pt idx="1384">
                  <c:v>12.09.03</c:v>
                </c:pt>
                <c:pt idx="1385">
                  <c:v>15.09.03</c:v>
                </c:pt>
                <c:pt idx="1386">
                  <c:v>16.09.03</c:v>
                </c:pt>
                <c:pt idx="1387">
                  <c:v>17.09.03</c:v>
                </c:pt>
                <c:pt idx="1388">
                  <c:v>18.09.03</c:v>
                </c:pt>
                <c:pt idx="1389">
                  <c:v>19.09.03</c:v>
                </c:pt>
                <c:pt idx="1390">
                  <c:v>22.09.03</c:v>
                </c:pt>
                <c:pt idx="1391">
                  <c:v>23.09.03</c:v>
                </c:pt>
                <c:pt idx="1392">
                  <c:v>24.09.03</c:v>
                </c:pt>
                <c:pt idx="1393">
                  <c:v>25.09.03</c:v>
                </c:pt>
                <c:pt idx="1394">
                  <c:v>26.09.03</c:v>
                </c:pt>
                <c:pt idx="1395">
                  <c:v>29.09.03</c:v>
                </c:pt>
                <c:pt idx="1396">
                  <c:v>30.09.03</c:v>
                </c:pt>
                <c:pt idx="1397">
                  <c:v>01.10.03</c:v>
                </c:pt>
                <c:pt idx="1398">
                  <c:v>02.10.03</c:v>
                </c:pt>
                <c:pt idx="1399">
                  <c:v>03.10.03</c:v>
                </c:pt>
                <c:pt idx="1400">
                  <c:v>06.10.03</c:v>
                </c:pt>
                <c:pt idx="1401">
                  <c:v>07.10.03</c:v>
                </c:pt>
                <c:pt idx="1402">
                  <c:v>08.10.03</c:v>
                </c:pt>
                <c:pt idx="1403">
                  <c:v>09.10.03</c:v>
                </c:pt>
                <c:pt idx="1404">
                  <c:v>10.10.03</c:v>
                </c:pt>
                <c:pt idx="1405">
                  <c:v>13.10.03</c:v>
                </c:pt>
                <c:pt idx="1406">
                  <c:v>14.10.03</c:v>
                </c:pt>
                <c:pt idx="1407">
                  <c:v>15.10.03</c:v>
                </c:pt>
                <c:pt idx="1408">
                  <c:v>16.10.03</c:v>
                </c:pt>
                <c:pt idx="1409">
                  <c:v>17.10.03</c:v>
                </c:pt>
                <c:pt idx="1410">
                  <c:v>20.10.03</c:v>
                </c:pt>
                <c:pt idx="1411">
                  <c:v>21.10.03</c:v>
                </c:pt>
                <c:pt idx="1412">
                  <c:v>22.10.03</c:v>
                </c:pt>
                <c:pt idx="1413">
                  <c:v>23.10.03</c:v>
                </c:pt>
                <c:pt idx="1414">
                  <c:v>24.10.03</c:v>
                </c:pt>
                <c:pt idx="1415">
                  <c:v>27.10.03</c:v>
                </c:pt>
                <c:pt idx="1416">
                  <c:v>28.10.03</c:v>
                </c:pt>
                <c:pt idx="1417">
                  <c:v>29.10.03</c:v>
                </c:pt>
                <c:pt idx="1418">
                  <c:v>30.10.03</c:v>
                </c:pt>
                <c:pt idx="1419">
                  <c:v>31.10.03</c:v>
                </c:pt>
                <c:pt idx="1420">
                  <c:v>03.11.03</c:v>
                </c:pt>
                <c:pt idx="1421">
                  <c:v>04.11.03</c:v>
                </c:pt>
                <c:pt idx="1422">
                  <c:v>05.11.03</c:v>
                </c:pt>
                <c:pt idx="1423">
                  <c:v>06.11.03</c:v>
                </c:pt>
                <c:pt idx="1424">
                  <c:v>07.11.03</c:v>
                </c:pt>
                <c:pt idx="1425">
                  <c:v>10.11.03</c:v>
                </c:pt>
                <c:pt idx="1426">
                  <c:v>11.11.03</c:v>
                </c:pt>
                <c:pt idx="1427">
                  <c:v>12.11.03</c:v>
                </c:pt>
                <c:pt idx="1428">
                  <c:v>13.11.03</c:v>
                </c:pt>
                <c:pt idx="1429">
                  <c:v>14.11.03</c:v>
                </c:pt>
                <c:pt idx="1430">
                  <c:v>17.11.03</c:v>
                </c:pt>
                <c:pt idx="1431">
                  <c:v>18.11.03</c:v>
                </c:pt>
                <c:pt idx="1432">
                  <c:v>19.11.03</c:v>
                </c:pt>
                <c:pt idx="1433">
                  <c:v>20.11.03</c:v>
                </c:pt>
                <c:pt idx="1434">
                  <c:v>21.11.03</c:v>
                </c:pt>
                <c:pt idx="1435">
                  <c:v>24.11.03</c:v>
                </c:pt>
                <c:pt idx="1436">
                  <c:v>25.11.03</c:v>
                </c:pt>
                <c:pt idx="1437">
                  <c:v>26.11.03</c:v>
                </c:pt>
                <c:pt idx="1438">
                  <c:v>27.11.03</c:v>
                </c:pt>
                <c:pt idx="1439">
                  <c:v>28.11.03</c:v>
                </c:pt>
                <c:pt idx="1440">
                  <c:v>01.12.03</c:v>
                </c:pt>
                <c:pt idx="1441">
                  <c:v>02.12.03</c:v>
                </c:pt>
              </c:strCache>
            </c:strRef>
          </c:cat>
          <c:val>
            <c:numRef>
              <c:f>SWEP!$B$2:$B$1500</c:f>
              <c:numCache>
                <c:ptCount val="1499"/>
                <c:pt idx="0">
                  <c:v>32.3842</c:v>
                </c:pt>
                <c:pt idx="1">
                  <c:v>33.0382</c:v>
                </c:pt>
                <c:pt idx="2">
                  <c:v>32.139</c:v>
                </c:pt>
                <c:pt idx="3">
                  <c:v>32.1611</c:v>
                </c:pt>
                <c:pt idx="4">
                  <c:v>32.317</c:v>
                </c:pt>
                <c:pt idx="5">
                  <c:v>32.6003</c:v>
                </c:pt>
                <c:pt idx="6">
                  <c:v>32.7813</c:v>
                </c:pt>
                <c:pt idx="7">
                  <c:v>32.5683</c:v>
                </c:pt>
                <c:pt idx="8">
                  <c:v>32.3507</c:v>
                </c:pt>
                <c:pt idx="9">
                  <c:v>32.3613</c:v>
                </c:pt>
                <c:pt idx="10">
                  <c:v>33.3631</c:v>
                </c:pt>
                <c:pt idx="11">
                  <c:v>33.1091</c:v>
                </c:pt>
                <c:pt idx="12">
                  <c:v>32.3872</c:v>
                </c:pt>
                <c:pt idx="13">
                  <c:v>32.8436</c:v>
                </c:pt>
                <c:pt idx="14">
                  <c:v>32.5742</c:v>
                </c:pt>
                <c:pt idx="15">
                  <c:v>32.5033</c:v>
                </c:pt>
                <c:pt idx="16">
                  <c:v>31.2633</c:v>
                </c:pt>
                <c:pt idx="17">
                  <c:v>30.4676</c:v>
                </c:pt>
                <c:pt idx="18">
                  <c:v>30.4271</c:v>
                </c:pt>
                <c:pt idx="19">
                  <c:v>32.3986</c:v>
                </c:pt>
                <c:pt idx="20">
                  <c:v>31.9679</c:v>
                </c:pt>
                <c:pt idx="21">
                  <c:v>32.0625</c:v>
                </c:pt>
                <c:pt idx="22">
                  <c:v>32.3497</c:v>
                </c:pt>
                <c:pt idx="23">
                  <c:v>33.7772</c:v>
                </c:pt>
                <c:pt idx="24">
                  <c:v>33.941</c:v>
                </c:pt>
                <c:pt idx="25">
                  <c:v>34.8865</c:v>
                </c:pt>
                <c:pt idx="26">
                  <c:v>33.8667</c:v>
                </c:pt>
                <c:pt idx="27">
                  <c:v>35.6026</c:v>
                </c:pt>
                <c:pt idx="28">
                  <c:v>34.0619</c:v>
                </c:pt>
                <c:pt idx="29">
                  <c:v>33.7872</c:v>
                </c:pt>
                <c:pt idx="30">
                  <c:v>34.5074</c:v>
                </c:pt>
                <c:pt idx="31">
                  <c:v>32.2753</c:v>
                </c:pt>
                <c:pt idx="32">
                  <c:v>33.5195</c:v>
                </c:pt>
                <c:pt idx="33">
                  <c:v>33.3492</c:v>
                </c:pt>
                <c:pt idx="34">
                  <c:v>34.7135</c:v>
                </c:pt>
                <c:pt idx="35">
                  <c:v>32.1854</c:v>
                </c:pt>
                <c:pt idx="36">
                  <c:v>32.429</c:v>
                </c:pt>
                <c:pt idx="37">
                  <c:v>33.5729</c:v>
                </c:pt>
                <c:pt idx="38">
                  <c:v>32.6449</c:v>
                </c:pt>
                <c:pt idx="39">
                  <c:v>32.0963</c:v>
                </c:pt>
                <c:pt idx="40">
                  <c:v>31.8882</c:v>
                </c:pt>
                <c:pt idx="41">
                  <c:v>30.6058</c:v>
                </c:pt>
                <c:pt idx="42">
                  <c:v>30.1534</c:v>
                </c:pt>
                <c:pt idx="43">
                  <c:v>29.9706</c:v>
                </c:pt>
                <c:pt idx="44">
                  <c:v>29.7037</c:v>
                </c:pt>
                <c:pt idx="45">
                  <c:v>30.7304</c:v>
                </c:pt>
                <c:pt idx="46">
                  <c:v>31.3565</c:v>
                </c:pt>
                <c:pt idx="47">
                  <c:v>30.995</c:v>
                </c:pt>
                <c:pt idx="48">
                  <c:v>28.056</c:v>
                </c:pt>
                <c:pt idx="49">
                  <c:v>31.8291</c:v>
                </c:pt>
                <c:pt idx="50">
                  <c:v>33.2496</c:v>
                </c:pt>
                <c:pt idx="51">
                  <c:v>33.3482</c:v>
                </c:pt>
                <c:pt idx="52">
                  <c:v>33.671</c:v>
                </c:pt>
                <c:pt idx="53">
                  <c:v>33.5533</c:v>
                </c:pt>
                <c:pt idx="54">
                  <c:v>33.4695</c:v>
                </c:pt>
                <c:pt idx="55">
                  <c:v>32.9134</c:v>
                </c:pt>
                <c:pt idx="56">
                  <c:v>32.7037</c:v>
                </c:pt>
                <c:pt idx="57">
                  <c:v>31.0072</c:v>
                </c:pt>
                <c:pt idx="58">
                  <c:v>32.2003</c:v>
                </c:pt>
                <c:pt idx="59">
                  <c:v>32.3506</c:v>
                </c:pt>
                <c:pt idx="60">
                  <c:v>32.3838</c:v>
                </c:pt>
                <c:pt idx="61">
                  <c:v>29.8885</c:v>
                </c:pt>
                <c:pt idx="62">
                  <c:v>32.9252</c:v>
                </c:pt>
                <c:pt idx="63">
                  <c:v>34.679</c:v>
                </c:pt>
                <c:pt idx="64">
                  <c:v>34.5124</c:v>
                </c:pt>
                <c:pt idx="65">
                  <c:v>34.3789</c:v>
                </c:pt>
                <c:pt idx="66">
                  <c:v>34.3199</c:v>
                </c:pt>
                <c:pt idx="67">
                  <c:v>34.038</c:v>
                </c:pt>
                <c:pt idx="68">
                  <c:v>33.8293</c:v>
                </c:pt>
                <c:pt idx="69">
                  <c:v>34.3547</c:v>
                </c:pt>
                <c:pt idx="70">
                  <c:v>34.5684</c:v>
                </c:pt>
                <c:pt idx="71">
                  <c:v>35.4464</c:v>
                </c:pt>
                <c:pt idx="72">
                  <c:v>34.4143</c:v>
                </c:pt>
                <c:pt idx="73">
                  <c:v>36.7559</c:v>
                </c:pt>
                <c:pt idx="74">
                  <c:v>36.0916</c:v>
                </c:pt>
                <c:pt idx="75">
                  <c:v>37.0317</c:v>
                </c:pt>
                <c:pt idx="76">
                  <c:v>37.6761</c:v>
                </c:pt>
                <c:pt idx="77">
                  <c:v>36.9126</c:v>
                </c:pt>
                <c:pt idx="78">
                  <c:v>37.7477</c:v>
                </c:pt>
                <c:pt idx="79">
                  <c:v>36.8814</c:v>
                </c:pt>
                <c:pt idx="80">
                  <c:v>37.1902</c:v>
                </c:pt>
                <c:pt idx="81">
                  <c:v>37.3312</c:v>
                </c:pt>
                <c:pt idx="82">
                  <c:v>36.5229</c:v>
                </c:pt>
                <c:pt idx="83">
                  <c:v>36.8793</c:v>
                </c:pt>
                <c:pt idx="84">
                  <c:v>36.9442</c:v>
                </c:pt>
                <c:pt idx="85">
                  <c:v>37.0732</c:v>
                </c:pt>
                <c:pt idx="86">
                  <c:v>36.9125</c:v>
                </c:pt>
                <c:pt idx="87">
                  <c:v>37.2687</c:v>
                </c:pt>
                <c:pt idx="88">
                  <c:v>37.3294</c:v>
                </c:pt>
                <c:pt idx="89">
                  <c:v>37.1272</c:v>
                </c:pt>
                <c:pt idx="90">
                  <c:v>37.3734</c:v>
                </c:pt>
                <c:pt idx="91">
                  <c:v>37.0383</c:v>
                </c:pt>
                <c:pt idx="92">
                  <c:v>36.6573</c:v>
                </c:pt>
                <c:pt idx="93">
                  <c:v>37.0258</c:v>
                </c:pt>
                <c:pt idx="94">
                  <c:v>36.6878</c:v>
                </c:pt>
                <c:pt idx="95">
                  <c:v>35.4845</c:v>
                </c:pt>
                <c:pt idx="96">
                  <c:v>36.1105</c:v>
                </c:pt>
                <c:pt idx="97">
                  <c:v>33.5723</c:v>
                </c:pt>
                <c:pt idx="98">
                  <c:v>33.8655</c:v>
                </c:pt>
                <c:pt idx="99">
                  <c:v>34.116</c:v>
                </c:pt>
                <c:pt idx="100">
                  <c:v>34.1227</c:v>
                </c:pt>
                <c:pt idx="101">
                  <c:v>35.1091</c:v>
                </c:pt>
                <c:pt idx="102">
                  <c:v>34.8629</c:v>
                </c:pt>
                <c:pt idx="103">
                  <c:v>34.9499</c:v>
                </c:pt>
                <c:pt idx="104">
                  <c:v>36.4632</c:v>
                </c:pt>
                <c:pt idx="105">
                  <c:v>36.5069</c:v>
                </c:pt>
                <c:pt idx="106">
                  <c:v>36.8103</c:v>
                </c:pt>
                <c:pt idx="107">
                  <c:v>37.392</c:v>
                </c:pt>
                <c:pt idx="108">
                  <c:v>37.0958</c:v>
                </c:pt>
                <c:pt idx="109">
                  <c:v>38.0146</c:v>
                </c:pt>
                <c:pt idx="110">
                  <c:v>37.7841</c:v>
                </c:pt>
                <c:pt idx="111">
                  <c:v>37.9316</c:v>
                </c:pt>
                <c:pt idx="112">
                  <c:v>38.8211</c:v>
                </c:pt>
                <c:pt idx="113">
                  <c:v>38.2725</c:v>
                </c:pt>
                <c:pt idx="114">
                  <c:v>37.5204</c:v>
                </c:pt>
                <c:pt idx="115">
                  <c:v>36.9153</c:v>
                </c:pt>
                <c:pt idx="116">
                  <c:v>35.9474</c:v>
                </c:pt>
                <c:pt idx="117">
                  <c:v>38.2291</c:v>
                </c:pt>
                <c:pt idx="118">
                  <c:v>35.9871</c:v>
                </c:pt>
                <c:pt idx="119">
                  <c:v>36.9671</c:v>
                </c:pt>
                <c:pt idx="120">
                  <c:v>37.8918</c:v>
                </c:pt>
                <c:pt idx="121">
                  <c:v>37.8968</c:v>
                </c:pt>
                <c:pt idx="122">
                  <c:v>36.7803</c:v>
                </c:pt>
                <c:pt idx="123">
                  <c:v>34.0995</c:v>
                </c:pt>
                <c:pt idx="124">
                  <c:v>33.8864</c:v>
                </c:pt>
                <c:pt idx="125">
                  <c:v>34.4966</c:v>
                </c:pt>
                <c:pt idx="126">
                  <c:v>34.7494</c:v>
                </c:pt>
                <c:pt idx="127">
                  <c:v>32.8965</c:v>
                </c:pt>
                <c:pt idx="128">
                  <c:v>32.1779</c:v>
                </c:pt>
                <c:pt idx="129">
                  <c:v>32.8862</c:v>
                </c:pt>
                <c:pt idx="130">
                  <c:v>33.2219</c:v>
                </c:pt>
                <c:pt idx="131">
                  <c:v>33.2587</c:v>
                </c:pt>
                <c:pt idx="132">
                  <c:v>33.1909</c:v>
                </c:pt>
                <c:pt idx="133">
                  <c:v>34.5585</c:v>
                </c:pt>
                <c:pt idx="134">
                  <c:v>34.4484</c:v>
                </c:pt>
                <c:pt idx="135">
                  <c:v>35.8763</c:v>
                </c:pt>
                <c:pt idx="136">
                  <c:v>35.4439</c:v>
                </c:pt>
                <c:pt idx="137">
                  <c:v>34.8433</c:v>
                </c:pt>
                <c:pt idx="138">
                  <c:v>35.0908</c:v>
                </c:pt>
                <c:pt idx="139">
                  <c:v>34.5839</c:v>
                </c:pt>
                <c:pt idx="140">
                  <c:v>33.4609</c:v>
                </c:pt>
                <c:pt idx="141">
                  <c:v>32.1332</c:v>
                </c:pt>
                <c:pt idx="142">
                  <c:v>31.1705</c:v>
                </c:pt>
                <c:pt idx="143">
                  <c:v>32.755</c:v>
                </c:pt>
                <c:pt idx="144">
                  <c:v>32.7726</c:v>
                </c:pt>
                <c:pt idx="145">
                  <c:v>32.6007</c:v>
                </c:pt>
                <c:pt idx="146">
                  <c:v>32.3739</c:v>
                </c:pt>
                <c:pt idx="147">
                  <c:v>31.7235</c:v>
                </c:pt>
                <c:pt idx="148">
                  <c:v>32.0271</c:v>
                </c:pt>
                <c:pt idx="149">
                  <c:v>31.8425</c:v>
                </c:pt>
                <c:pt idx="150">
                  <c:v>32.3248</c:v>
                </c:pt>
                <c:pt idx="151">
                  <c:v>32.6072</c:v>
                </c:pt>
                <c:pt idx="152">
                  <c:v>30.7458</c:v>
                </c:pt>
                <c:pt idx="153">
                  <c:v>31.3828</c:v>
                </c:pt>
                <c:pt idx="154">
                  <c:v>30.6703</c:v>
                </c:pt>
                <c:pt idx="155">
                  <c:v>30.9847</c:v>
                </c:pt>
                <c:pt idx="156">
                  <c:v>31.0671</c:v>
                </c:pt>
                <c:pt idx="157">
                  <c:v>30.7555</c:v>
                </c:pt>
                <c:pt idx="158">
                  <c:v>31.9441</c:v>
                </c:pt>
                <c:pt idx="159">
                  <c:v>31.6499</c:v>
                </c:pt>
                <c:pt idx="160">
                  <c:v>31.3688</c:v>
                </c:pt>
                <c:pt idx="161">
                  <c:v>30.7172</c:v>
                </c:pt>
                <c:pt idx="162">
                  <c:v>30.8492</c:v>
                </c:pt>
                <c:pt idx="163">
                  <c:v>30.2499</c:v>
                </c:pt>
                <c:pt idx="164">
                  <c:v>31.3126</c:v>
                </c:pt>
                <c:pt idx="165">
                  <c:v>31.6978</c:v>
                </c:pt>
                <c:pt idx="166">
                  <c:v>31.497</c:v>
                </c:pt>
                <c:pt idx="167">
                  <c:v>31.577</c:v>
                </c:pt>
                <c:pt idx="168">
                  <c:v>31.7361</c:v>
                </c:pt>
                <c:pt idx="169">
                  <c:v>30.4721</c:v>
                </c:pt>
                <c:pt idx="170">
                  <c:v>31.8245</c:v>
                </c:pt>
                <c:pt idx="171">
                  <c:v>31.4217</c:v>
                </c:pt>
                <c:pt idx="172">
                  <c:v>31.9144</c:v>
                </c:pt>
                <c:pt idx="173">
                  <c:v>33.0064</c:v>
                </c:pt>
                <c:pt idx="174">
                  <c:v>33.3176</c:v>
                </c:pt>
                <c:pt idx="175">
                  <c:v>33.3589</c:v>
                </c:pt>
                <c:pt idx="176">
                  <c:v>34.4143</c:v>
                </c:pt>
                <c:pt idx="177">
                  <c:v>34.1355</c:v>
                </c:pt>
                <c:pt idx="178">
                  <c:v>34.4033</c:v>
                </c:pt>
                <c:pt idx="179">
                  <c:v>37.8468</c:v>
                </c:pt>
                <c:pt idx="180">
                  <c:v>35.101</c:v>
                </c:pt>
                <c:pt idx="181">
                  <c:v>35.4007</c:v>
                </c:pt>
                <c:pt idx="182">
                  <c:v>34.5845</c:v>
                </c:pt>
                <c:pt idx="183">
                  <c:v>34.9377</c:v>
                </c:pt>
                <c:pt idx="184">
                  <c:v>34.5335</c:v>
                </c:pt>
                <c:pt idx="185">
                  <c:v>34.1494</c:v>
                </c:pt>
                <c:pt idx="186">
                  <c:v>35.2363</c:v>
                </c:pt>
                <c:pt idx="187">
                  <c:v>34.4932</c:v>
                </c:pt>
                <c:pt idx="188">
                  <c:v>35.2382</c:v>
                </c:pt>
                <c:pt idx="189">
                  <c:v>35.6839</c:v>
                </c:pt>
                <c:pt idx="190">
                  <c:v>35.3062</c:v>
                </c:pt>
                <c:pt idx="191">
                  <c:v>34.1382</c:v>
                </c:pt>
                <c:pt idx="192">
                  <c:v>34.0337</c:v>
                </c:pt>
                <c:pt idx="193">
                  <c:v>31.9446</c:v>
                </c:pt>
                <c:pt idx="194">
                  <c:v>32.3834</c:v>
                </c:pt>
                <c:pt idx="195">
                  <c:v>31.9342</c:v>
                </c:pt>
                <c:pt idx="196">
                  <c:v>32.4127</c:v>
                </c:pt>
                <c:pt idx="197">
                  <c:v>32.5518</c:v>
                </c:pt>
                <c:pt idx="198">
                  <c:v>33.9403</c:v>
                </c:pt>
                <c:pt idx="199">
                  <c:v>34.2912</c:v>
                </c:pt>
                <c:pt idx="200">
                  <c:v>32.9511</c:v>
                </c:pt>
                <c:pt idx="201">
                  <c:v>30.902</c:v>
                </c:pt>
                <c:pt idx="202">
                  <c:v>30.6086</c:v>
                </c:pt>
                <c:pt idx="203">
                  <c:v>30.666</c:v>
                </c:pt>
                <c:pt idx="204">
                  <c:v>28.675</c:v>
                </c:pt>
                <c:pt idx="205">
                  <c:v>32.525</c:v>
                </c:pt>
                <c:pt idx="206">
                  <c:v>32.1507</c:v>
                </c:pt>
                <c:pt idx="207">
                  <c:v>32.2058</c:v>
                </c:pt>
                <c:pt idx="208">
                  <c:v>31.9652</c:v>
                </c:pt>
                <c:pt idx="209">
                  <c:v>31.9911</c:v>
                </c:pt>
                <c:pt idx="210">
                  <c:v>34.1238</c:v>
                </c:pt>
                <c:pt idx="211">
                  <c:v>34.3328</c:v>
                </c:pt>
                <c:pt idx="212">
                  <c:v>34.5939</c:v>
                </c:pt>
                <c:pt idx="213">
                  <c:v>34.5078</c:v>
                </c:pt>
                <c:pt idx="214">
                  <c:v>33.5091</c:v>
                </c:pt>
                <c:pt idx="215">
                  <c:v>35.3868</c:v>
                </c:pt>
                <c:pt idx="216">
                  <c:v>33.202</c:v>
                </c:pt>
                <c:pt idx="217">
                  <c:v>31.9555</c:v>
                </c:pt>
                <c:pt idx="218">
                  <c:v>32.4494</c:v>
                </c:pt>
                <c:pt idx="219">
                  <c:v>31.8452</c:v>
                </c:pt>
                <c:pt idx="220">
                  <c:v>30.9506</c:v>
                </c:pt>
                <c:pt idx="221">
                  <c:v>31.5051</c:v>
                </c:pt>
                <c:pt idx="222">
                  <c:v>29.9808</c:v>
                </c:pt>
                <c:pt idx="223">
                  <c:v>30.6919</c:v>
                </c:pt>
                <c:pt idx="224">
                  <c:v>31.9671</c:v>
                </c:pt>
                <c:pt idx="225">
                  <c:v>33.0615</c:v>
                </c:pt>
                <c:pt idx="226">
                  <c:v>32.4778</c:v>
                </c:pt>
                <c:pt idx="227">
                  <c:v>31.4227</c:v>
                </c:pt>
                <c:pt idx="228">
                  <c:v>31.2743</c:v>
                </c:pt>
                <c:pt idx="229">
                  <c:v>30.6284</c:v>
                </c:pt>
                <c:pt idx="230">
                  <c:v>29.7182</c:v>
                </c:pt>
                <c:pt idx="231">
                  <c:v>30.4198</c:v>
                </c:pt>
                <c:pt idx="232">
                  <c:v>31.8031</c:v>
                </c:pt>
                <c:pt idx="233">
                  <c:v>30.6058</c:v>
                </c:pt>
                <c:pt idx="234">
                  <c:v>29.2352</c:v>
                </c:pt>
                <c:pt idx="235">
                  <c:v>29.8084</c:v>
                </c:pt>
                <c:pt idx="236">
                  <c:v>30.4772</c:v>
                </c:pt>
                <c:pt idx="237">
                  <c:v>31.1708</c:v>
                </c:pt>
                <c:pt idx="238">
                  <c:v>31.0522</c:v>
                </c:pt>
                <c:pt idx="239">
                  <c:v>30.8774</c:v>
                </c:pt>
                <c:pt idx="240">
                  <c:v>31.1639</c:v>
                </c:pt>
                <c:pt idx="241">
                  <c:v>32.2714</c:v>
                </c:pt>
                <c:pt idx="242">
                  <c:v>32.9528</c:v>
                </c:pt>
                <c:pt idx="243">
                  <c:v>32.5366</c:v>
                </c:pt>
                <c:pt idx="244">
                  <c:v>31.8636</c:v>
                </c:pt>
                <c:pt idx="245">
                  <c:v>31.9508</c:v>
                </c:pt>
                <c:pt idx="246">
                  <c:v>31.1487</c:v>
                </c:pt>
                <c:pt idx="247">
                  <c:v>30.8701</c:v>
                </c:pt>
                <c:pt idx="248">
                  <c:v>30.0349</c:v>
                </c:pt>
                <c:pt idx="249">
                  <c:v>29.2946</c:v>
                </c:pt>
                <c:pt idx="250">
                  <c:v>29.642</c:v>
                </c:pt>
                <c:pt idx="251">
                  <c:v>29.6872</c:v>
                </c:pt>
                <c:pt idx="252">
                  <c:v>29.5336</c:v>
                </c:pt>
                <c:pt idx="253">
                  <c:v>28.9951</c:v>
                </c:pt>
                <c:pt idx="254">
                  <c:v>28.7189</c:v>
                </c:pt>
                <c:pt idx="255">
                  <c:v>28.177</c:v>
                </c:pt>
                <c:pt idx="256">
                  <c:v>27.6415</c:v>
                </c:pt>
                <c:pt idx="257">
                  <c:v>26.9779</c:v>
                </c:pt>
                <c:pt idx="258">
                  <c:v>27.0255</c:v>
                </c:pt>
                <c:pt idx="259">
                  <c:v>27.4719</c:v>
                </c:pt>
                <c:pt idx="260">
                  <c:v>27.2403</c:v>
                </c:pt>
                <c:pt idx="261">
                  <c:v>28.6051</c:v>
                </c:pt>
                <c:pt idx="262">
                  <c:v>28.5386</c:v>
                </c:pt>
                <c:pt idx="263">
                  <c:v>27.7072</c:v>
                </c:pt>
                <c:pt idx="264">
                  <c:v>26.9979</c:v>
                </c:pt>
                <c:pt idx="265">
                  <c:v>26.8643</c:v>
                </c:pt>
                <c:pt idx="266">
                  <c:v>27.0657</c:v>
                </c:pt>
                <c:pt idx="267">
                  <c:v>27.8932</c:v>
                </c:pt>
                <c:pt idx="268">
                  <c:v>25.0788</c:v>
                </c:pt>
                <c:pt idx="269">
                  <c:v>26.0039</c:v>
                </c:pt>
                <c:pt idx="270">
                  <c:v>24.9435</c:v>
                </c:pt>
                <c:pt idx="271">
                  <c:v>26.8927</c:v>
                </c:pt>
                <c:pt idx="272">
                  <c:v>26.5318</c:v>
                </c:pt>
                <c:pt idx="273">
                  <c:v>26.2668</c:v>
                </c:pt>
                <c:pt idx="274">
                  <c:v>26.3336</c:v>
                </c:pt>
                <c:pt idx="275">
                  <c:v>27.2611</c:v>
                </c:pt>
                <c:pt idx="276">
                  <c:v>27.4866</c:v>
                </c:pt>
                <c:pt idx="277">
                  <c:v>27.7404</c:v>
                </c:pt>
                <c:pt idx="278">
                  <c:v>27.5279</c:v>
                </c:pt>
                <c:pt idx="279">
                  <c:v>28.0246</c:v>
                </c:pt>
                <c:pt idx="280">
                  <c:v>29.1691</c:v>
                </c:pt>
                <c:pt idx="281">
                  <c:v>28.4379</c:v>
                </c:pt>
                <c:pt idx="282">
                  <c:v>27.1108</c:v>
                </c:pt>
                <c:pt idx="283">
                  <c:v>27.1932</c:v>
                </c:pt>
                <c:pt idx="284">
                  <c:v>26.9959</c:v>
                </c:pt>
                <c:pt idx="285">
                  <c:v>25.8892</c:v>
                </c:pt>
                <c:pt idx="286">
                  <c:v>25.2945</c:v>
                </c:pt>
                <c:pt idx="287">
                  <c:v>23.1459</c:v>
                </c:pt>
                <c:pt idx="288">
                  <c:v>23.2689</c:v>
                </c:pt>
                <c:pt idx="289">
                  <c:v>23.124</c:v>
                </c:pt>
                <c:pt idx="290">
                  <c:v>21.8999</c:v>
                </c:pt>
                <c:pt idx="291">
                  <c:v>20.5726</c:v>
                </c:pt>
                <c:pt idx="292">
                  <c:v>20.1872</c:v>
                </c:pt>
                <c:pt idx="293">
                  <c:v>20.7841</c:v>
                </c:pt>
                <c:pt idx="294">
                  <c:v>20.1443</c:v>
                </c:pt>
                <c:pt idx="295">
                  <c:v>20.3812</c:v>
                </c:pt>
                <c:pt idx="296">
                  <c:v>16.4001</c:v>
                </c:pt>
                <c:pt idx="297">
                  <c:v>19.8148</c:v>
                </c:pt>
                <c:pt idx="298">
                  <c:v>20.3739</c:v>
                </c:pt>
                <c:pt idx="299">
                  <c:v>20.2763</c:v>
                </c:pt>
                <c:pt idx="300">
                  <c:v>19.9732</c:v>
                </c:pt>
                <c:pt idx="301">
                  <c:v>19.6088</c:v>
                </c:pt>
                <c:pt idx="302">
                  <c:v>19.1327</c:v>
                </c:pt>
                <c:pt idx="303">
                  <c:v>20.0401</c:v>
                </c:pt>
                <c:pt idx="304">
                  <c:v>20.2664</c:v>
                </c:pt>
                <c:pt idx="305">
                  <c:v>19.7632</c:v>
                </c:pt>
                <c:pt idx="306">
                  <c:v>19.9132</c:v>
                </c:pt>
                <c:pt idx="307">
                  <c:v>20.0743</c:v>
                </c:pt>
                <c:pt idx="308">
                  <c:v>19.633</c:v>
                </c:pt>
                <c:pt idx="309">
                  <c:v>18.0188</c:v>
                </c:pt>
                <c:pt idx="310">
                  <c:v>19.2087</c:v>
                </c:pt>
                <c:pt idx="311">
                  <c:v>19.5485</c:v>
                </c:pt>
                <c:pt idx="312">
                  <c:v>19.9022</c:v>
                </c:pt>
                <c:pt idx="313">
                  <c:v>20.7147</c:v>
                </c:pt>
                <c:pt idx="314">
                  <c:v>20.586</c:v>
                </c:pt>
                <c:pt idx="315">
                  <c:v>21.3896</c:v>
                </c:pt>
                <c:pt idx="316">
                  <c:v>21.113</c:v>
                </c:pt>
                <c:pt idx="317">
                  <c:v>21.4676</c:v>
                </c:pt>
                <c:pt idx="318">
                  <c:v>21.1868</c:v>
                </c:pt>
                <c:pt idx="319">
                  <c:v>21.2664</c:v>
                </c:pt>
                <c:pt idx="320">
                  <c:v>21.302</c:v>
                </c:pt>
                <c:pt idx="321">
                  <c:v>21.5547</c:v>
                </c:pt>
                <c:pt idx="322">
                  <c:v>21.1969</c:v>
                </c:pt>
                <c:pt idx="323">
                  <c:v>21.4518</c:v>
                </c:pt>
                <c:pt idx="324">
                  <c:v>21.5377</c:v>
                </c:pt>
                <c:pt idx="325">
                  <c:v>21.9779</c:v>
                </c:pt>
                <c:pt idx="326">
                  <c:v>21.8398</c:v>
                </c:pt>
                <c:pt idx="327">
                  <c:v>22.8019</c:v>
                </c:pt>
                <c:pt idx="328">
                  <c:v>23.0503</c:v>
                </c:pt>
                <c:pt idx="329">
                  <c:v>23.6712</c:v>
                </c:pt>
                <c:pt idx="330">
                  <c:v>24.1006</c:v>
                </c:pt>
                <c:pt idx="331">
                  <c:v>23.0718</c:v>
                </c:pt>
                <c:pt idx="332">
                  <c:v>25.251</c:v>
                </c:pt>
                <c:pt idx="333">
                  <c:v>26.9858</c:v>
                </c:pt>
                <c:pt idx="334">
                  <c:v>26.0911</c:v>
                </c:pt>
                <c:pt idx="335">
                  <c:v>25.4641</c:v>
                </c:pt>
                <c:pt idx="336">
                  <c:v>26.1268</c:v>
                </c:pt>
                <c:pt idx="337">
                  <c:v>26.0909</c:v>
                </c:pt>
                <c:pt idx="338">
                  <c:v>24.5284</c:v>
                </c:pt>
                <c:pt idx="339">
                  <c:v>25.9334</c:v>
                </c:pt>
                <c:pt idx="340">
                  <c:v>25.9685</c:v>
                </c:pt>
                <c:pt idx="341">
                  <c:v>25.0492</c:v>
                </c:pt>
                <c:pt idx="342">
                  <c:v>25.3513</c:v>
                </c:pt>
                <c:pt idx="343">
                  <c:v>24.8051</c:v>
                </c:pt>
                <c:pt idx="344">
                  <c:v>25.175</c:v>
                </c:pt>
                <c:pt idx="345">
                  <c:v>25.2015</c:v>
                </c:pt>
                <c:pt idx="346">
                  <c:v>25.0535</c:v>
                </c:pt>
                <c:pt idx="347">
                  <c:v>24.9572</c:v>
                </c:pt>
                <c:pt idx="348">
                  <c:v>24.8618</c:v>
                </c:pt>
                <c:pt idx="349">
                  <c:v>24.6885</c:v>
                </c:pt>
                <c:pt idx="350">
                  <c:v>24.4012</c:v>
                </c:pt>
                <c:pt idx="351">
                  <c:v>22.5389</c:v>
                </c:pt>
                <c:pt idx="352">
                  <c:v>21.6581</c:v>
                </c:pt>
                <c:pt idx="353">
                  <c:v>22.5278</c:v>
                </c:pt>
                <c:pt idx="354">
                  <c:v>22.9959</c:v>
                </c:pt>
                <c:pt idx="355">
                  <c:v>22.8139</c:v>
                </c:pt>
                <c:pt idx="356">
                  <c:v>22.8343</c:v>
                </c:pt>
                <c:pt idx="357">
                  <c:v>22.0231</c:v>
                </c:pt>
                <c:pt idx="358">
                  <c:v>20.8761</c:v>
                </c:pt>
                <c:pt idx="359">
                  <c:v>20.7248</c:v>
                </c:pt>
                <c:pt idx="360">
                  <c:v>20.6498</c:v>
                </c:pt>
                <c:pt idx="361">
                  <c:v>20.4765</c:v>
                </c:pt>
                <c:pt idx="362">
                  <c:v>20.5919</c:v>
                </c:pt>
                <c:pt idx="363">
                  <c:v>20.2007</c:v>
                </c:pt>
                <c:pt idx="364">
                  <c:v>20.8276</c:v>
                </c:pt>
                <c:pt idx="365">
                  <c:v>19.6041</c:v>
                </c:pt>
                <c:pt idx="366">
                  <c:v>20.3556</c:v>
                </c:pt>
                <c:pt idx="367">
                  <c:v>20.663</c:v>
                </c:pt>
                <c:pt idx="368">
                  <c:v>21.8793</c:v>
                </c:pt>
                <c:pt idx="369">
                  <c:v>22.0195</c:v>
                </c:pt>
                <c:pt idx="370">
                  <c:v>21.131</c:v>
                </c:pt>
                <c:pt idx="371">
                  <c:v>23.368</c:v>
                </c:pt>
                <c:pt idx="372">
                  <c:v>24.8716</c:v>
                </c:pt>
                <c:pt idx="373">
                  <c:v>25.277</c:v>
                </c:pt>
                <c:pt idx="374">
                  <c:v>24.9261</c:v>
                </c:pt>
                <c:pt idx="375">
                  <c:v>25.3196</c:v>
                </c:pt>
                <c:pt idx="376">
                  <c:v>24.5892</c:v>
                </c:pt>
                <c:pt idx="377">
                  <c:v>25.1603</c:v>
                </c:pt>
                <c:pt idx="378">
                  <c:v>26.3874</c:v>
                </c:pt>
                <c:pt idx="379">
                  <c:v>26.5495</c:v>
                </c:pt>
                <c:pt idx="380">
                  <c:v>26.659</c:v>
                </c:pt>
                <c:pt idx="381">
                  <c:v>27.031</c:v>
                </c:pt>
                <c:pt idx="382">
                  <c:v>27.5208</c:v>
                </c:pt>
                <c:pt idx="383">
                  <c:v>28.2032</c:v>
                </c:pt>
                <c:pt idx="384">
                  <c:v>28.7483</c:v>
                </c:pt>
                <c:pt idx="385">
                  <c:v>28.8976</c:v>
                </c:pt>
                <c:pt idx="386">
                  <c:v>29.45</c:v>
                </c:pt>
                <c:pt idx="387">
                  <c:v>28.9688</c:v>
                </c:pt>
                <c:pt idx="388">
                  <c:v>28.0749</c:v>
                </c:pt>
                <c:pt idx="389">
                  <c:v>26.586</c:v>
                </c:pt>
                <c:pt idx="390">
                  <c:v>27.6475</c:v>
                </c:pt>
                <c:pt idx="391">
                  <c:v>26.357</c:v>
                </c:pt>
                <c:pt idx="392">
                  <c:v>25.774</c:v>
                </c:pt>
                <c:pt idx="393">
                  <c:v>24.3698</c:v>
                </c:pt>
                <c:pt idx="394">
                  <c:v>24.3134</c:v>
                </c:pt>
                <c:pt idx="395">
                  <c:v>23.9076</c:v>
                </c:pt>
                <c:pt idx="396">
                  <c:v>25.7478</c:v>
                </c:pt>
                <c:pt idx="397">
                  <c:v>27.3132</c:v>
                </c:pt>
                <c:pt idx="398">
                  <c:v>26.9883</c:v>
                </c:pt>
                <c:pt idx="399">
                  <c:v>27.0893</c:v>
                </c:pt>
                <c:pt idx="400">
                  <c:v>27.1151</c:v>
                </c:pt>
                <c:pt idx="401">
                  <c:v>28.5924</c:v>
                </c:pt>
                <c:pt idx="402">
                  <c:v>28.9539</c:v>
                </c:pt>
                <c:pt idx="403">
                  <c:v>29.0808</c:v>
                </c:pt>
                <c:pt idx="404">
                  <c:v>29.9324</c:v>
                </c:pt>
                <c:pt idx="405">
                  <c:v>30.4478</c:v>
                </c:pt>
                <c:pt idx="406">
                  <c:v>30.9203</c:v>
                </c:pt>
                <c:pt idx="407">
                  <c:v>31.8764</c:v>
                </c:pt>
                <c:pt idx="408">
                  <c:v>32.2502</c:v>
                </c:pt>
                <c:pt idx="409">
                  <c:v>33.0564</c:v>
                </c:pt>
                <c:pt idx="410">
                  <c:v>32.7084</c:v>
                </c:pt>
                <c:pt idx="411">
                  <c:v>31.4947</c:v>
                </c:pt>
                <c:pt idx="412">
                  <c:v>32.1224</c:v>
                </c:pt>
                <c:pt idx="413">
                  <c:v>32.61</c:v>
                </c:pt>
                <c:pt idx="414">
                  <c:v>33.1858</c:v>
                </c:pt>
                <c:pt idx="415">
                  <c:v>33.4018</c:v>
                </c:pt>
                <c:pt idx="416">
                  <c:v>33.2774</c:v>
                </c:pt>
                <c:pt idx="417">
                  <c:v>33.2157</c:v>
                </c:pt>
                <c:pt idx="418">
                  <c:v>33.0962</c:v>
                </c:pt>
                <c:pt idx="419">
                  <c:v>33.2747</c:v>
                </c:pt>
                <c:pt idx="420">
                  <c:v>34.1504</c:v>
                </c:pt>
                <c:pt idx="421">
                  <c:v>34.2623</c:v>
                </c:pt>
                <c:pt idx="422">
                  <c:v>34.646</c:v>
                </c:pt>
                <c:pt idx="423">
                  <c:v>34.7129</c:v>
                </c:pt>
                <c:pt idx="424">
                  <c:v>34.8581</c:v>
                </c:pt>
                <c:pt idx="425">
                  <c:v>35.5555</c:v>
                </c:pt>
                <c:pt idx="426">
                  <c:v>36.0668</c:v>
                </c:pt>
                <c:pt idx="427">
                  <c:v>39.8448</c:v>
                </c:pt>
                <c:pt idx="428">
                  <c:v>40.2989</c:v>
                </c:pt>
                <c:pt idx="429">
                  <c:v>40.6651</c:v>
                </c:pt>
                <c:pt idx="430">
                  <c:v>40.2717</c:v>
                </c:pt>
                <c:pt idx="431">
                  <c:v>41.5274</c:v>
                </c:pt>
                <c:pt idx="432">
                  <c:v>40.614</c:v>
                </c:pt>
                <c:pt idx="433">
                  <c:v>39.4393</c:v>
                </c:pt>
                <c:pt idx="434">
                  <c:v>38.5107</c:v>
                </c:pt>
                <c:pt idx="435">
                  <c:v>37.5488</c:v>
                </c:pt>
                <c:pt idx="436">
                  <c:v>38.2148</c:v>
                </c:pt>
                <c:pt idx="437">
                  <c:v>37.9959</c:v>
                </c:pt>
                <c:pt idx="438">
                  <c:v>37.8988</c:v>
                </c:pt>
                <c:pt idx="439">
                  <c:v>36.8852</c:v>
                </c:pt>
                <c:pt idx="440">
                  <c:v>36.1066</c:v>
                </c:pt>
                <c:pt idx="441">
                  <c:v>37.1593</c:v>
                </c:pt>
                <c:pt idx="442">
                  <c:v>37.5068</c:v>
                </c:pt>
                <c:pt idx="443">
                  <c:v>37.6436</c:v>
                </c:pt>
                <c:pt idx="444">
                  <c:v>38.4606</c:v>
                </c:pt>
                <c:pt idx="445">
                  <c:v>37.6707</c:v>
                </c:pt>
                <c:pt idx="446">
                  <c:v>37.7979</c:v>
                </c:pt>
                <c:pt idx="447">
                  <c:v>38.2772</c:v>
                </c:pt>
                <c:pt idx="448">
                  <c:v>39.4355</c:v>
                </c:pt>
                <c:pt idx="449">
                  <c:v>38.2876</c:v>
                </c:pt>
                <c:pt idx="450">
                  <c:v>37.4938</c:v>
                </c:pt>
                <c:pt idx="451">
                  <c:v>37.5138</c:v>
                </c:pt>
                <c:pt idx="452">
                  <c:v>37.4249</c:v>
                </c:pt>
                <c:pt idx="453">
                  <c:v>37.2176</c:v>
                </c:pt>
                <c:pt idx="454">
                  <c:v>28.4181</c:v>
                </c:pt>
                <c:pt idx="455">
                  <c:v>28.6254</c:v>
                </c:pt>
                <c:pt idx="456">
                  <c:v>30.102</c:v>
                </c:pt>
                <c:pt idx="457">
                  <c:v>30.0006</c:v>
                </c:pt>
                <c:pt idx="458">
                  <c:v>29.9864</c:v>
                </c:pt>
                <c:pt idx="459">
                  <c:v>26.3015</c:v>
                </c:pt>
                <c:pt idx="460">
                  <c:v>38.6326</c:v>
                </c:pt>
                <c:pt idx="461">
                  <c:v>35.6637</c:v>
                </c:pt>
                <c:pt idx="462">
                  <c:v>33.5789</c:v>
                </c:pt>
                <c:pt idx="463">
                  <c:v>29.7962</c:v>
                </c:pt>
                <c:pt idx="464">
                  <c:v>31.2189</c:v>
                </c:pt>
                <c:pt idx="465">
                  <c:v>36.4757</c:v>
                </c:pt>
                <c:pt idx="466">
                  <c:v>38.0824</c:v>
                </c:pt>
                <c:pt idx="467">
                  <c:v>38.5174</c:v>
                </c:pt>
                <c:pt idx="468">
                  <c:v>38.694</c:v>
                </c:pt>
                <c:pt idx="469">
                  <c:v>38.9314</c:v>
                </c:pt>
                <c:pt idx="470">
                  <c:v>39.7207</c:v>
                </c:pt>
                <c:pt idx="471">
                  <c:v>40.1837</c:v>
                </c:pt>
                <c:pt idx="472">
                  <c:v>40.2799</c:v>
                </c:pt>
                <c:pt idx="473">
                  <c:v>41.2238</c:v>
                </c:pt>
                <c:pt idx="474">
                  <c:v>41.5413</c:v>
                </c:pt>
                <c:pt idx="475">
                  <c:v>44.1896</c:v>
                </c:pt>
                <c:pt idx="476">
                  <c:v>46.8849</c:v>
                </c:pt>
                <c:pt idx="477">
                  <c:v>48.2428</c:v>
                </c:pt>
                <c:pt idx="478">
                  <c:v>49.0548</c:v>
                </c:pt>
                <c:pt idx="479">
                  <c:v>47.3968</c:v>
                </c:pt>
                <c:pt idx="480">
                  <c:v>44.994</c:v>
                </c:pt>
                <c:pt idx="481">
                  <c:v>43.3766</c:v>
                </c:pt>
                <c:pt idx="482">
                  <c:v>41.106</c:v>
                </c:pt>
                <c:pt idx="483">
                  <c:v>40.1375</c:v>
                </c:pt>
                <c:pt idx="484">
                  <c:v>39.1115</c:v>
                </c:pt>
                <c:pt idx="485">
                  <c:v>38.2767</c:v>
                </c:pt>
                <c:pt idx="486">
                  <c:v>39.2071</c:v>
                </c:pt>
                <c:pt idx="487">
                  <c:v>39.5541</c:v>
                </c:pt>
                <c:pt idx="488">
                  <c:v>39.6985</c:v>
                </c:pt>
                <c:pt idx="489">
                  <c:v>38.8626</c:v>
                </c:pt>
                <c:pt idx="490">
                  <c:v>39.1732</c:v>
                </c:pt>
                <c:pt idx="491">
                  <c:v>38.6282</c:v>
                </c:pt>
                <c:pt idx="492">
                  <c:v>40.6321</c:v>
                </c:pt>
                <c:pt idx="493">
                  <c:v>39.4535</c:v>
                </c:pt>
                <c:pt idx="494">
                  <c:v>39.479</c:v>
                </c:pt>
                <c:pt idx="495">
                  <c:v>38.1012</c:v>
                </c:pt>
                <c:pt idx="496">
                  <c:v>37.648</c:v>
                </c:pt>
                <c:pt idx="497">
                  <c:v>38.2223</c:v>
                </c:pt>
                <c:pt idx="498">
                  <c:v>38.2328</c:v>
                </c:pt>
                <c:pt idx="499">
                  <c:v>37.9577</c:v>
                </c:pt>
                <c:pt idx="500">
                  <c:v>37.576</c:v>
                </c:pt>
                <c:pt idx="501">
                  <c:v>37.973</c:v>
                </c:pt>
                <c:pt idx="502">
                  <c:v>36.5455</c:v>
                </c:pt>
                <c:pt idx="503">
                  <c:v>36.1187</c:v>
                </c:pt>
                <c:pt idx="504">
                  <c:v>35.4353</c:v>
                </c:pt>
                <c:pt idx="505">
                  <c:v>35.7085</c:v>
                </c:pt>
                <c:pt idx="506">
                  <c:v>36.5758</c:v>
                </c:pt>
                <c:pt idx="507">
                  <c:v>36.8874</c:v>
                </c:pt>
                <c:pt idx="508">
                  <c:v>35.8476</c:v>
                </c:pt>
                <c:pt idx="509">
                  <c:v>36.3497</c:v>
                </c:pt>
                <c:pt idx="510">
                  <c:v>35.8896</c:v>
                </c:pt>
                <c:pt idx="511">
                  <c:v>35.4641</c:v>
                </c:pt>
                <c:pt idx="512">
                  <c:v>33.9527</c:v>
                </c:pt>
                <c:pt idx="513">
                  <c:v>34.2605</c:v>
                </c:pt>
                <c:pt idx="514">
                  <c:v>33.9731</c:v>
                </c:pt>
                <c:pt idx="515">
                  <c:v>35.1076</c:v>
                </c:pt>
                <c:pt idx="516">
                  <c:v>34.6098</c:v>
                </c:pt>
                <c:pt idx="517">
                  <c:v>34.553</c:v>
                </c:pt>
                <c:pt idx="518">
                  <c:v>30.9251</c:v>
                </c:pt>
                <c:pt idx="519">
                  <c:v>31.7638</c:v>
                </c:pt>
                <c:pt idx="520">
                  <c:v>33.709</c:v>
                </c:pt>
                <c:pt idx="521">
                  <c:v>34.7273</c:v>
                </c:pt>
                <c:pt idx="522">
                  <c:v>35.175</c:v>
                </c:pt>
                <c:pt idx="523">
                  <c:v>36.5474</c:v>
                </c:pt>
                <c:pt idx="524">
                  <c:v>39.2079</c:v>
                </c:pt>
                <c:pt idx="525">
                  <c:v>40.8522</c:v>
                </c:pt>
                <c:pt idx="526">
                  <c:v>39.154</c:v>
                </c:pt>
                <c:pt idx="527">
                  <c:v>39.5195</c:v>
                </c:pt>
                <c:pt idx="528">
                  <c:v>40.702</c:v>
                </c:pt>
                <c:pt idx="529">
                  <c:v>41.7424</c:v>
                </c:pt>
                <c:pt idx="530">
                  <c:v>42.0434</c:v>
                </c:pt>
                <c:pt idx="531">
                  <c:v>41.8786</c:v>
                </c:pt>
                <c:pt idx="532">
                  <c:v>42.4527</c:v>
                </c:pt>
                <c:pt idx="533">
                  <c:v>42.2457</c:v>
                </c:pt>
                <c:pt idx="534">
                  <c:v>42.6543</c:v>
                </c:pt>
                <c:pt idx="535">
                  <c:v>41.8399</c:v>
                </c:pt>
                <c:pt idx="536">
                  <c:v>41.6257</c:v>
                </c:pt>
                <c:pt idx="537">
                  <c:v>39.7396</c:v>
                </c:pt>
                <c:pt idx="538">
                  <c:v>35.5181</c:v>
                </c:pt>
                <c:pt idx="539">
                  <c:v>22.8639</c:v>
                </c:pt>
                <c:pt idx="540">
                  <c:v>31.5299</c:v>
                </c:pt>
                <c:pt idx="541">
                  <c:v>28.4291</c:v>
                </c:pt>
                <c:pt idx="542">
                  <c:v>28.0577</c:v>
                </c:pt>
                <c:pt idx="543">
                  <c:v>26.4959</c:v>
                </c:pt>
                <c:pt idx="544">
                  <c:v>27.6321</c:v>
                </c:pt>
                <c:pt idx="545">
                  <c:v>26.9815</c:v>
                </c:pt>
                <c:pt idx="546">
                  <c:v>26.8014</c:v>
                </c:pt>
                <c:pt idx="547">
                  <c:v>25.638</c:v>
                </c:pt>
                <c:pt idx="548">
                  <c:v>25.6527</c:v>
                </c:pt>
                <c:pt idx="549">
                  <c:v>29.0009</c:v>
                </c:pt>
                <c:pt idx="550">
                  <c:v>30.7665</c:v>
                </c:pt>
                <c:pt idx="551">
                  <c:v>30.6024</c:v>
                </c:pt>
                <c:pt idx="552">
                  <c:v>29.8234</c:v>
                </c:pt>
                <c:pt idx="553">
                  <c:v>28.1769</c:v>
                </c:pt>
                <c:pt idx="554">
                  <c:v>30.9043</c:v>
                </c:pt>
                <c:pt idx="555">
                  <c:v>31.4664</c:v>
                </c:pt>
                <c:pt idx="556">
                  <c:v>30.6043</c:v>
                </c:pt>
                <c:pt idx="557">
                  <c:v>29.8084</c:v>
                </c:pt>
                <c:pt idx="558">
                  <c:v>26.8073</c:v>
                </c:pt>
                <c:pt idx="559">
                  <c:v>28.6643</c:v>
                </c:pt>
                <c:pt idx="560">
                  <c:v>30.5841</c:v>
                </c:pt>
                <c:pt idx="561">
                  <c:v>29.5388</c:v>
                </c:pt>
                <c:pt idx="562">
                  <c:v>27.8886</c:v>
                </c:pt>
                <c:pt idx="563">
                  <c:v>30.4975</c:v>
                </c:pt>
                <c:pt idx="564">
                  <c:v>30.5371</c:v>
                </c:pt>
                <c:pt idx="565">
                  <c:v>30.0392</c:v>
                </c:pt>
                <c:pt idx="566">
                  <c:v>24.414</c:v>
                </c:pt>
                <c:pt idx="567">
                  <c:v>30.9441</c:v>
                </c:pt>
                <c:pt idx="568">
                  <c:v>31.4108</c:v>
                </c:pt>
                <c:pt idx="569">
                  <c:v>32.6255</c:v>
                </c:pt>
                <c:pt idx="570">
                  <c:v>31.4745</c:v>
                </c:pt>
                <c:pt idx="571">
                  <c:v>30.4078</c:v>
                </c:pt>
                <c:pt idx="572">
                  <c:v>31.3488</c:v>
                </c:pt>
                <c:pt idx="573">
                  <c:v>30.2282</c:v>
                </c:pt>
                <c:pt idx="574">
                  <c:v>33.7376</c:v>
                </c:pt>
                <c:pt idx="575">
                  <c:v>34.3826</c:v>
                </c:pt>
                <c:pt idx="576">
                  <c:v>32.6437</c:v>
                </c:pt>
                <c:pt idx="577">
                  <c:v>35.6116</c:v>
                </c:pt>
                <c:pt idx="578">
                  <c:v>37.041</c:v>
                </c:pt>
                <c:pt idx="579">
                  <c:v>34.1408</c:v>
                </c:pt>
                <c:pt idx="580">
                  <c:v>37.7901</c:v>
                </c:pt>
                <c:pt idx="581">
                  <c:v>34.6511</c:v>
                </c:pt>
                <c:pt idx="582">
                  <c:v>35.5099</c:v>
                </c:pt>
                <c:pt idx="583">
                  <c:v>36.8512</c:v>
                </c:pt>
                <c:pt idx="584">
                  <c:v>35.3298</c:v>
                </c:pt>
                <c:pt idx="585">
                  <c:v>35.2127</c:v>
                </c:pt>
                <c:pt idx="586">
                  <c:v>35.7436</c:v>
                </c:pt>
                <c:pt idx="587">
                  <c:v>35.7582</c:v>
                </c:pt>
                <c:pt idx="588">
                  <c:v>37.3371</c:v>
                </c:pt>
                <c:pt idx="589">
                  <c:v>38.4153</c:v>
                </c:pt>
                <c:pt idx="590">
                  <c:v>38.2565</c:v>
                </c:pt>
                <c:pt idx="591">
                  <c:v>37.377</c:v>
                </c:pt>
                <c:pt idx="592">
                  <c:v>39.1343</c:v>
                </c:pt>
                <c:pt idx="593">
                  <c:v>38.5931</c:v>
                </c:pt>
                <c:pt idx="594">
                  <c:v>34.4811</c:v>
                </c:pt>
                <c:pt idx="595">
                  <c:v>33.3672</c:v>
                </c:pt>
                <c:pt idx="596">
                  <c:v>33.7426</c:v>
                </c:pt>
                <c:pt idx="597">
                  <c:v>31.8488</c:v>
                </c:pt>
                <c:pt idx="598">
                  <c:v>32.8163</c:v>
                </c:pt>
                <c:pt idx="599">
                  <c:v>34.5429</c:v>
                </c:pt>
                <c:pt idx="600">
                  <c:v>34.0684</c:v>
                </c:pt>
                <c:pt idx="601">
                  <c:v>34.0848</c:v>
                </c:pt>
                <c:pt idx="602">
                  <c:v>35.0468</c:v>
                </c:pt>
                <c:pt idx="603">
                  <c:v>34.3228</c:v>
                </c:pt>
                <c:pt idx="604">
                  <c:v>33.5699</c:v>
                </c:pt>
                <c:pt idx="605">
                  <c:v>33.7491</c:v>
                </c:pt>
                <c:pt idx="606">
                  <c:v>32.7768</c:v>
                </c:pt>
                <c:pt idx="607">
                  <c:v>32.6699</c:v>
                </c:pt>
                <c:pt idx="608">
                  <c:v>32.8305</c:v>
                </c:pt>
                <c:pt idx="609">
                  <c:v>33.0281</c:v>
                </c:pt>
                <c:pt idx="610">
                  <c:v>31.3294</c:v>
                </c:pt>
                <c:pt idx="611">
                  <c:v>30.6912</c:v>
                </c:pt>
                <c:pt idx="612">
                  <c:v>30.4415</c:v>
                </c:pt>
                <c:pt idx="613">
                  <c:v>30.1342</c:v>
                </c:pt>
                <c:pt idx="614">
                  <c:v>31.5079</c:v>
                </c:pt>
                <c:pt idx="615">
                  <c:v>29.3211</c:v>
                </c:pt>
                <c:pt idx="616">
                  <c:v>32.15</c:v>
                </c:pt>
                <c:pt idx="617">
                  <c:v>32.6636</c:v>
                </c:pt>
                <c:pt idx="618">
                  <c:v>33.9533</c:v>
                </c:pt>
                <c:pt idx="619">
                  <c:v>36.4186</c:v>
                </c:pt>
                <c:pt idx="620">
                  <c:v>38.8666</c:v>
                </c:pt>
                <c:pt idx="621">
                  <c:v>41.1904</c:v>
                </c:pt>
                <c:pt idx="622">
                  <c:v>40.3322</c:v>
                </c:pt>
                <c:pt idx="623">
                  <c:v>39.031</c:v>
                </c:pt>
                <c:pt idx="624">
                  <c:v>41.4587</c:v>
                </c:pt>
                <c:pt idx="625">
                  <c:v>42.3735</c:v>
                </c:pt>
                <c:pt idx="626">
                  <c:v>44.0736</c:v>
                </c:pt>
                <c:pt idx="627">
                  <c:v>46.4077</c:v>
                </c:pt>
                <c:pt idx="628">
                  <c:v>45.4656</c:v>
                </c:pt>
                <c:pt idx="629">
                  <c:v>51.9747</c:v>
                </c:pt>
                <c:pt idx="630">
                  <c:v>51.984</c:v>
                </c:pt>
                <c:pt idx="631">
                  <c:v>54.4206</c:v>
                </c:pt>
                <c:pt idx="632">
                  <c:v>55.9869</c:v>
                </c:pt>
                <c:pt idx="633">
                  <c:v>57.6987</c:v>
                </c:pt>
                <c:pt idx="634">
                  <c:v>54.4856</c:v>
                </c:pt>
                <c:pt idx="635">
                  <c:v>54.4049</c:v>
                </c:pt>
                <c:pt idx="636">
                  <c:v>55.5537</c:v>
                </c:pt>
                <c:pt idx="637">
                  <c:v>62.483</c:v>
                </c:pt>
                <c:pt idx="638">
                  <c:v>58.9376</c:v>
                </c:pt>
                <c:pt idx="639">
                  <c:v>51.8469</c:v>
                </c:pt>
                <c:pt idx="640">
                  <c:v>52.6595</c:v>
                </c:pt>
                <c:pt idx="641">
                  <c:v>54.0684</c:v>
                </c:pt>
                <c:pt idx="642">
                  <c:v>58.8839</c:v>
                </c:pt>
                <c:pt idx="643">
                  <c:v>56.243</c:v>
                </c:pt>
                <c:pt idx="644">
                  <c:v>54.7423</c:v>
                </c:pt>
                <c:pt idx="645">
                  <c:v>55.4923</c:v>
                </c:pt>
                <c:pt idx="646">
                  <c:v>55.8209</c:v>
                </c:pt>
                <c:pt idx="647">
                  <c:v>54.8847</c:v>
                </c:pt>
                <c:pt idx="648">
                  <c:v>52.7661</c:v>
                </c:pt>
                <c:pt idx="649">
                  <c:v>39.4288</c:v>
                </c:pt>
                <c:pt idx="650">
                  <c:v>38.2099</c:v>
                </c:pt>
                <c:pt idx="651">
                  <c:v>42.4247</c:v>
                </c:pt>
                <c:pt idx="652">
                  <c:v>42.3515</c:v>
                </c:pt>
                <c:pt idx="653">
                  <c:v>40.9911</c:v>
                </c:pt>
                <c:pt idx="654">
                  <c:v>43.4988</c:v>
                </c:pt>
                <c:pt idx="655">
                  <c:v>45.8667</c:v>
                </c:pt>
                <c:pt idx="656">
                  <c:v>46.8292</c:v>
                </c:pt>
                <c:pt idx="657">
                  <c:v>46.6421</c:v>
                </c:pt>
                <c:pt idx="658">
                  <c:v>48.2891</c:v>
                </c:pt>
                <c:pt idx="659">
                  <c:v>34.9743</c:v>
                </c:pt>
                <c:pt idx="660">
                  <c:v>37.3205</c:v>
                </c:pt>
                <c:pt idx="661">
                  <c:v>36.6631</c:v>
                </c:pt>
                <c:pt idx="662">
                  <c:v>37.9158</c:v>
                </c:pt>
                <c:pt idx="663">
                  <c:v>38.2609</c:v>
                </c:pt>
                <c:pt idx="664">
                  <c:v>37.5796</c:v>
                </c:pt>
                <c:pt idx="665">
                  <c:v>45.0345</c:v>
                </c:pt>
                <c:pt idx="666">
                  <c:v>47.1507</c:v>
                </c:pt>
                <c:pt idx="667">
                  <c:v>45.4235</c:v>
                </c:pt>
                <c:pt idx="668">
                  <c:v>47.5545</c:v>
                </c:pt>
                <c:pt idx="669">
                  <c:v>48.4686</c:v>
                </c:pt>
                <c:pt idx="670">
                  <c:v>50.6988</c:v>
                </c:pt>
                <c:pt idx="671">
                  <c:v>45.7482</c:v>
                </c:pt>
                <c:pt idx="672">
                  <c:v>48.0971</c:v>
                </c:pt>
                <c:pt idx="673">
                  <c:v>49.8003</c:v>
                </c:pt>
                <c:pt idx="674">
                  <c:v>47.8139</c:v>
                </c:pt>
                <c:pt idx="675">
                  <c:v>44.8999</c:v>
                </c:pt>
                <c:pt idx="676">
                  <c:v>42.3146</c:v>
                </c:pt>
                <c:pt idx="677">
                  <c:v>45.0246</c:v>
                </c:pt>
                <c:pt idx="678">
                  <c:v>42.3444</c:v>
                </c:pt>
                <c:pt idx="679">
                  <c:v>44.0802</c:v>
                </c:pt>
                <c:pt idx="680">
                  <c:v>45.7688</c:v>
                </c:pt>
                <c:pt idx="681">
                  <c:v>47.1113</c:v>
                </c:pt>
                <c:pt idx="682">
                  <c:v>46.694</c:v>
                </c:pt>
                <c:pt idx="683">
                  <c:v>45.5102</c:v>
                </c:pt>
                <c:pt idx="684">
                  <c:v>45.8762</c:v>
                </c:pt>
                <c:pt idx="685">
                  <c:v>48.023</c:v>
                </c:pt>
                <c:pt idx="686">
                  <c:v>47.7293</c:v>
                </c:pt>
                <c:pt idx="687">
                  <c:v>47.168</c:v>
                </c:pt>
                <c:pt idx="688">
                  <c:v>47.6876</c:v>
                </c:pt>
                <c:pt idx="689">
                  <c:v>46.6983</c:v>
                </c:pt>
                <c:pt idx="690">
                  <c:v>49.0542</c:v>
                </c:pt>
                <c:pt idx="691">
                  <c:v>49.0813</c:v>
                </c:pt>
                <c:pt idx="692">
                  <c:v>48.1607</c:v>
                </c:pt>
                <c:pt idx="693">
                  <c:v>46.2923</c:v>
                </c:pt>
                <c:pt idx="694">
                  <c:v>41.7977</c:v>
                </c:pt>
                <c:pt idx="695">
                  <c:v>45.468</c:v>
                </c:pt>
                <c:pt idx="696">
                  <c:v>44.6066</c:v>
                </c:pt>
                <c:pt idx="697">
                  <c:v>45.2266</c:v>
                </c:pt>
                <c:pt idx="698">
                  <c:v>42.6852</c:v>
                </c:pt>
                <c:pt idx="699">
                  <c:v>43.3876</c:v>
                </c:pt>
                <c:pt idx="700">
                  <c:v>43.437</c:v>
                </c:pt>
                <c:pt idx="701">
                  <c:v>42.3886</c:v>
                </c:pt>
                <c:pt idx="702">
                  <c:v>43.2683</c:v>
                </c:pt>
                <c:pt idx="703">
                  <c:v>44.2613</c:v>
                </c:pt>
                <c:pt idx="704">
                  <c:v>44.266</c:v>
                </c:pt>
                <c:pt idx="705">
                  <c:v>49.9073</c:v>
                </c:pt>
                <c:pt idx="706">
                  <c:v>52.8451</c:v>
                </c:pt>
                <c:pt idx="707">
                  <c:v>48.8587</c:v>
                </c:pt>
                <c:pt idx="708">
                  <c:v>43.5496</c:v>
                </c:pt>
                <c:pt idx="709">
                  <c:v>32.4544</c:v>
                </c:pt>
                <c:pt idx="710">
                  <c:v>32.4889</c:v>
                </c:pt>
                <c:pt idx="711">
                  <c:v>33.8983</c:v>
                </c:pt>
                <c:pt idx="712">
                  <c:v>41.5347</c:v>
                </c:pt>
                <c:pt idx="713">
                  <c:v>36.6374</c:v>
                </c:pt>
                <c:pt idx="714">
                  <c:v>39.3912</c:v>
                </c:pt>
                <c:pt idx="715">
                  <c:v>38.6727</c:v>
                </c:pt>
                <c:pt idx="716">
                  <c:v>42.7309</c:v>
                </c:pt>
                <c:pt idx="717">
                  <c:v>45.4048</c:v>
                </c:pt>
                <c:pt idx="718">
                  <c:v>43.1633</c:v>
                </c:pt>
                <c:pt idx="719">
                  <c:v>43.1275</c:v>
                </c:pt>
                <c:pt idx="720">
                  <c:v>45.1555</c:v>
                </c:pt>
                <c:pt idx="721">
                  <c:v>46.1915</c:v>
                </c:pt>
                <c:pt idx="722">
                  <c:v>51.0599</c:v>
                </c:pt>
                <c:pt idx="723">
                  <c:v>52.2959</c:v>
                </c:pt>
                <c:pt idx="724">
                  <c:v>55.6578</c:v>
                </c:pt>
                <c:pt idx="725">
                  <c:v>47.8032</c:v>
                </c:pt>
                <c:pt idx="726">
                  <c:v>51.5249</c:v>
                </c:pt>
                <c:pt idx="727">
                  <c:v>48.2278</c:v>
                </c:pt>
                <c:pt idx="728">
                  <c:v>44.8847</c:v>
                </c:pt>
                <c:pt idx="729">
                  <c:v>43.6155</c:v>
                </c:pt>
                <c:pt idx="730">
                  <c:v>44.4475</c:v>
                </c:pt>
                <c:pt idx="731">
                  <c:v>47.774</c:v>
                </c:pt>
                <c:pt idx="732">
                  <c:v>49.3336</c:v>
                </c:pt>
                <c:pt idx="733">
                  <c:v>48.2483</c:v>
                </c:pt>
                <c:pt idx="734">
                  <c:v>49.108</c:v>
                </c:pt>
                <c:pt idx="735">
                  <c:v>48.5635</c:v>
                </c:pt>
                <c:pt idx="736">
                  <c:v>46.9918</c:v>
                </c:pt>
                <c:pt idx="737">
                  <c:v>44.3579</c:v>
                </c:pt>
                <c:pt idx="738">
                  <c:v>42.8433</c:v>
                </c:pt>
                <c:pt idx="739">
                  <c:v>42.69</c:v>
                </c:pt>
                <c:pt idx="740">
                  <c:v>41.3011</c:v>
                </c:pt>
                <c:pt idx="741">
                  <c:v>39.568</c:v>
                </c:pt>
                <c:pt idx="742">
                  <c:v>35.5442</c:v>
                </c:pt>
                <c:pt idx="743">
                  <c:v>37.7088</c:v>
                </c:pt>
                <c:pt idx="744">
                  <c:v>41.2513</c:v>
                </c:pt>
                <c:pt idx="745">
                  <c:v>41.5274</c:v>
                </c:pt>
                <c:pt idx="746">
                  <c:v>40.414</c:v>
                </c:pt>
                <c:pt idx="747">
                  <c:v>41.0804</c:v>
                </c:pt>
                <c:pt idx="748">
                  <c:v>40.806</c:v>
                </c:pt>
                <c:pt idx="749">
                  <c:v>40.8569</c:v>
                </c:pt>
                <c:pt idx="750">
                  <c:v>42.0772</c:v>
                </c:pt>
                <c:pt idx="751">
                  <c:v>42.1596</c:v>
                </c:pt>
                <c:pt idx="752">
                  <c:v>48.2308</c:v>
                </c:pt>
                <c:pt idx="753">
                  <c:v>52.7521</c:v>
                </c:pt>
                <c:pt idx="754">
                  <c:v>54.6326</c:v>
                </c:pt>
                <c:pt idx="755">
                  <c:v>53.7814</c:v>
                </c:pt>
                <c:pt idx="756">
                  <c:v>48.6672</c:v>
                </c:pt>
                <c:pt idx="757">
                  <c:v>50.3267</c:v>
                </c:pt>
                <c:pt idx="758">
                  <c:v>47.2109</c:v>
                </c:pt>
                <c:pt idx="759">
                  <c:v>43.6534</c:v>
                </c:pt>
                <c:pt idx="760">
                  <c:v>41.9267</c:v>
                </c:pt>
                <c:pt idx="761">
                  <c:v>41.8386</c:v>
                </c:pt>
                <c:pt idx="762">
                  <c:v>37.5359</c:v>
                </c:pt>
                <c:pt idx="763">
                  <c:v>38.0909</c:v>
                </c:pt>
                <c:pt idx="764">
                  <c:v>38.5726</c:v>
                </c:pt>
                <c:pt idx="765">
                  <c:v>38.7215</c:v>
                </c:pt>
                <c:pt idx="766">
                  <c:v>38.3011</c:v>
                </c:pt>
                <c:pt idx="767">
                  <c:v>37.8943</c:v>
                </c:pt>
                <c:pt idx="768">
                  <c:v>37.2593</c:v>
                </c:pt>
                <c:pt idx="769">
                  <c:v>35.7991</c:v>
                </c:pt>
                <c:pt idx="770">
                  <c:v>34.7538</c:v>
                </c:pt>
                <c:pt idx="771">
                  <c:v>36.9401</c:v>
                </c:pt>
                <c:pt idx="772">
                  <c:v>35.9363</c:v>
                </c:pt>
                <c:pt idx="773">
                  <c:v>37.9795</c:v>
                </c:pt>
                <c:pt idx="774">
                  <c:v>36.5977</c:v>
                </c:pt>
                <c:pt idx="775">
                  <c:v>41.7575</c:v>
                </c:pt>
                <c:pt idx="776">
                  <c:v>42.2957</c:v>
                </c:pt>
                <c:pt idx="777">
                  <c:v>42.8565</c:v>
                </c:pt>
                <c:pt idx="778">
                  <c:v>41.1127</c:v>
                </c:pt>
                <c:pt idx="779">
                  <c:v>40.5506</c:v>
                </c:pt>
                <c:pt idx="780">
                  <c:v>40.0943</c:v>
                </c:pt>
                <c:pt idx="781">
                  <c:v>40.7538</c:v>
                </c:pt>
                <c:pt idx="782">
                  <c:v>43.1344</c:v>
                </c:pt>
                <c:pt idx="783">
                  <c:v>43.1344</c:v>
                </c:pt>
                <c:pt idx="784">
                  <c:v>43.0181</c:v>
                </c:pt>
                <c:pt idx="785">
                  <c:v>41.2581</c:v>
                </c:pt>
                <c:pt idx="786">
                  <c:v>48.0626</c:v>
                </c:pt>
                <c:pt idx="787">
                  <c:v>50.8272</c:v>
                </c:pt>
                <c:pt idx="788">
                  <c:v>63.5736</c:v>
                </c:pt>
                <c:pt idx="789">
                  <c:v>57.7682</c:v>
                </c:pt>
                <c:pt idx="790">
                  <c:v>52.4869</c:v>
                </c:pt>
                <c:pt idx="791">
                  <c:v>54.4038</c:v>
                </c:pt>
                <c:pt idx="792">
                  <c:v>57.5658</c:v>
                </c:pt>
                <c:pt idx="793">
                  <c:v>51.6789</c:v>
                </c:pt>
                <c:pt idx="794">
                  <c:v>41.2514</c:v>
                </c:pt>
                <c:pt idx="795">
                  <c:v>32.996</c:v>
                </c:pt>
                <c:pt idx="796">
                  <c:v>48.029</c:v>
                </c:pt>
                <c:pt idx="797">
                  <c:v>48.3686</c:v>
                </c:pt>
                <c:pt idx="798">
                  <c:v>46.5292</c:v>
                </c:pt>
                <c:pt idx="799">
                  <c:v>46.2461</c:v>
                </c:pt>
                <c:pt idx="800">
                  <c:v>49.0854</c:v>
                </c:pt>
                <c:pt idx="801">
                  <c:v>46.9034</c:v>
                </c:pt>
                <c:pt idx="802">
                  <c:v>43.8017</c:v>
                </c:pt>
                <c:pt idx="803">
                  <c:v>41.354</c:v>
                </c:pt>
                <c:pt idx="804">
                  <c:v>41.4728</c:v>
                </c:pt>
                <c:pt idx="805">
                  <c:v>43.6993</c:v>
                </c:pt>
                <c:pt idx="806">
                  <c:v>47.9097</c:v>
                </c:pt>
                <c:pt idx="807">
                  <c:v>48.0762</c:v>
                </c:pt>
                <c:pt idx="808">
                  <c:v>47.9402</c:v>
                </c:pt>
                <c:pt idx="809">
                  <c:v>49.9764</c:v>
                </c:pt>
                <c:pt idx="810">
                  <c:v>51.3324</c:v>
                </c:pt>
                <c:pt idx="811">
                  <c:v>46.5705</c:v>
                </c:pt>
                <c:pt idx="812">
                  <c:v>35.8084</c:v>
                </c:pt>
                <c:pt idx="813">
                  <c:v>45.8238</c:v>
                </c:pt>
                <c:pt idx="814">
                  <c:v>48.4212</c:v>
                </c:pt>
                <c:pt idx="815">
                  <c:v>48.5355</c:v>
                </c:pt>
                <c:pt idx="816">
                  <c:v>52.2624</c:v>
                </c:pt>
                <c:pt idx="817">
                  <c:v>50.5534</c:v>
                </c:pt>
                <c:pt idx="818">
                  <c:v>52.2098</c:v>
                </c:pt>
                <c:pt idx="819">
                  <c:v>52.3148</c:v>
                </c:pt>
                <c:pt idx="820">
                  <c:v>54.5928</c:v>
                </c:pt>
                <c:pt idx="821">
                  <c:v>53.9089</c:v>
                </c:pt>
                <c:pt idx="822">
                  <c:v>52.0332</c:v>
                </c:pt>
                <c:pt idx="823">
                  <c:v>50.1736</c:v>
                </c:pt>
                <c:pt idx="824">
                  <c:v>52.6084</c:v>
                </c:pt>
                <c:pt idx="825">
                  <c:v>39.8294</c:v>
                </c:pt>
                <c:pt idx="826">
                  <c:v>44.7582</c:v>
                </c:pt>
                <c:pt idx="827">
                  <c:v>53.4133</c:v>
                </c:pt>
                <c:pt idx="828">
                  <c:v>55.1663</c:v>
                </c:pt>
                <c:pt idx="829">
                  <c:v>55.7632</c:v>
                </c:pt>
                <c:pt idx="830">
                  <c:v>53.6392</c:v>
                </c:pt>
                <c:pt idx="831">
                  <c:v>53.3303</c:v>
                </c:pt>
                <c:pt idx="832">
                  <c:v>51.3873</c:v>
                </c:pt>
                <c:pt idx="833">
                  <c:v>52.6525</c:v>
                </c:pt>
                <c:pt idx="834">
                  <c:v>57.0829</c:v>
                </c:pt>
                <c:pt idx="835">
                  <c:v>57.3505</c:v>
                </c:pt>
                <c:pt idx="836">
                  <c:v>57.7823</c:v>
                </c:pt>
                <c:pt idx="837">
                  <c:v>55.4802</c:v>
                </c:pt>
                <c:pt idx="838">
                  <c:v>58.1769</c:v>
                </c:pt>
                <c:pt idx="839">
                  <c:v>54.255</c:v>
                </c:pt>
                <c:pt idx="840">
                  <c:v>61.487</c:v>
                </c:pt>
                <c:pt idx="841">
                  <c:v>54.6698</c:v>
                </c:pt>
                <c:pt idx="842">
                  <c:v>52.1553</c:v>
                </c:pt>
                <c:pt idx="843">
                  <c:v>53.8826</c:v>
                </c:pt>
                <c:pt idx="844">
                  <c:v>50.6231</c:v>
                </c:pt>
                <c:pt idx="845">
                  <c:v>47.2985</c:v>
                </c:pt>
                <c:pt idx="846">
                  <c:v>45.8866</c:v>
                </c:pt>
                <c:pt idx="847">
                  <c:v>46.5893</c:v>
                </c:pt>
                <c:pt idx="848">
                  <c:v>45.7561</c:v>
                </c:pt>
                <c:pt idx="849">
                  <c:v>43.403</c:v>
                </c:pt>
                <c:pt idx="850">
                  <c:v>38.7178</c:v>
                </c:pt>
                <c:pt idx="851">
                  <c:v>36.5018</c:v>
                </c:pt>
                <c:pt idx="852">
                  <c:v>39.2672</c:v>
                </c:pt>
                <c:pt idx="853">
                  <c:v>37.2429</c:v>
                </c:pt>
                <c:pt idx="854">
                  <c:v>35.9286</c:v>
                </c:pt>
                <c:pt idx="855">
                  <c:v>33.906</c:v>
                </c:pt>
                <c:pt idx="856">
                  <c:v>34.4234</c:v>
                </c:pt>
                <c:pt idx="857">
                  <c:v>33.9451</c:v>
                </c:pt>
                <c:pt idx="858">
                  <c:v>35.9052</c:v>
                </c:pt>
                <c:pt idx="859">
                  <c:v>36.6204</c:v>
                </c:pt>
                <c:pt idx="860">
                  <c:v>37.1449</c:v>
                </c:pt>
                <c:pt idx="861">
                  <c:v>38.7459</c:v>
                </c:pt>
                <c:pt idx="862">
                  <c:v>37.3498</c:v>
                </c:pt>
                <c:pt idx="863">
                  <c:v>37.1182</c:v>
                </c:pt>
                <c:pt idx="864">
                  <c:v>36.4651</c:v>
                </c:pt>
                <c:pt idx="865">
                  <c:v>34.9584</c:v>
                </c:pt>
                <c:pt idx="866">
                  <c:v>33.7397</c:v>
                </c:pt>
                <c:pt idx="867">
                  <c:v>33.4648</c:v>
                </c:pt>
                <c:pt idx="868">
                  <c:v>30.9109</c:v>
                </c:pt>
                <c:pt idx="869">
                  <c:v>35.1726</c:v>
                </c:pt>
                <c:pt idx="870">
                  <c:v>41.612</c:v>
                </c:pt>
                <c:pt idx="871">
                  <c:v>48.0432</c:v>
                </c:pt>
                <c:pt idx="872">
                  <c:v>52.7702</c:v>
                </c:pt>
                <c:pt idx="873">
                  <c:v>60.0474</c:v>
                </c:pt>
                <c:pt idx="874">
                  <c:v>56.0486</c:v>
                </c:pt>
                <c:pt idx="875">
                  <c:v>55.4754</c:v>
                </c:pt>
                <c:pt idx="876">
                  <c:v>55.7106</c:v>
                </c:pt>
                <c:pt idx="877">
                  <c:v>56.5248</c:v>
                </c:pt>
                <c:pt idx="878">
                  <c:v>55.4973</c:v>
                </c:pt>
                <c:pt idx="879">
                  <c:v>65.8686</c:v>
                </c:pt>
                <c:pt idx="880">
                  <c:v>59.1748</c:v>
                </c:pt>
                <c:pt idx="881">
                  <c:v>58.6867</c:v>
                </c:pt>
                <c:pt idx="882">
                  <c:v>57.8247</c:v>
                </c:pt>
                <c:pt idx="883">
                  <c:v>53.8824</c:v>
                </c:pt>
                <c:pt idx="884">
                  <c:v>50.0095</c:v>
                </c:pt>
                <c:pt idx="885">
                  <c:v>51.7704</c:v>
                </c:pt>
                <c:pt idx="886">
                  <c:v>52.0309</c:v>
                </c:pt>
                <c:pt idx="887">
                  <c:v>51.3265</c:v>
                </c:pt>
                <c:pt idx="888">
                  <c:v>52.2481</c:v>
                </c:pt>
                <c:pt idx="889">
                  <c:v>52.6212</c:v>
                </c:pt>
                <c:pt idx="890">
                  <c:v>54.8789</c:v>
                </c:pt>
                <c:pt idx="891">
                  <c:v>55.4794</c:v>
                </c:pt>
                <c:pt idx="892">
                  <c:v>56.5848</c:v>
                </c:pt>
                <c:pt idx="893">
                  <c:v>52.7241</c:v>
                </c:pt>
                <c:pt idx="894">
                  <c:v>52.7892</c:v>
                </c:pt>
                <c:pt idx="895">
                  <c:v>51.4966</c:v>
                </c:pt>
                <c:pt idx="896">
                  <c:v>53.8711</c:v>
                </c:pt>
                <c:pt idx="897">
                  <c:v>52.2207</c:v>
                </c:pt>
                <c:pt idx="898">
                  <c:v>54.3467</c:v>
                </c:pt>
                <c:pt idx="899">
                  <c:v>54.2716</c:v>
                </c:pt>
                <c:pt idx="900">
                  <c:v>53.2537</c:v>
                </c:pt>
                <c:pt idx="901">
                  <c:v>51.4929</c:v>
                </c:pt>
                <c:pt idx="902">
                  <c:v>51.8432</c:v>
                </c:pt>
                <c:pt idx="903">
                  <c:v>39.68</c:v>
                </c:pt>
                <c:pt idx="904">
                  <c:v>48.8309</c:v>
                </c:pt>
                <c:pt idx="905">
                  <c:v>48.0959</c:v>
                </c:pt>
                <c:pt idx="906">
                  <c:v>44.9061</c:v>
                </c:pt>
                <c:pt idx="907">
                  <c:v>45.817</c:v>
                </c:pt>
                <c:pt idx="908">
                  <c:v>44.7628</c:v>
                </c:pt>
                <c:pt idx="909">
                  <c:v>45.0966</c:v>
                </c:pt>
                <c:pt idx="910">
                  <c:v>44.9577</c:v>
                </c:pt>
                <c:pt idx="911">
                  <c:v>41.8498</c:v>
                </c:pt>
                <c:pt idx="912">
                  <c:v>45.2267</c:v>
                </c:pt>
                <c:pt idx="913">
                  <c:v>44.731</c:v>
                </c:pt>
                <c:pt idx="914">
                  <c:v>48.6947</c:v>
                </c:pt>
                <c:pt idx="915">
                  <c:v>47.8911</c:v>
                </c:pt>
                <c:pt idx="916">
                  <c:v>50.4523</c:v>
                </c:pt>
                <c:pt idx="917">
                  <c:v>51.1058</c:v>
                </c:pt>
                <c:pt idx="918">
                  <c:v>52.7898</c:v>
                </c:pt>
                <c:pt idx="919">
                  <c:v>53.3765</c:v>
                </c:pt>
                <c:pt idx="920">
                  <c:v>51.7989</c:v>
                </c:pt>
                <c:pt idx="921">
                  <c:v>54.7128</c:v>
                </c:pt>
                <c:pt idx="922">
                  <c:v>60.3945</c:v>
                </c:pt>
                <c:pt idx="923">
                  <c:v>48.0307</c:v>
                </c:pt>
                <c:pt idx="924">
                  <c:v>35.1882</c:v>
                </c:pt>
                <c:pt idx="925">
                  <c:v>38.2247</c:v>
                </c:pt>
                <c:pt idx="926">
                  <c:v>58.0578</c:v>
                </c:pt>
                <c:pt idx="927">
                  <c:v>57.0219</c:v>
                </c:pt>
                <c:pt idx="928">
                  <c:v>54.3326</c:v>
                </c:pt>
                <c:pt idx="929">
                  <c:v>56.035</c:v>
                </c:pt>
                <c:pt idx="930">
                  <c:v>54.4559</c:v>
                </c:pt>
                <c:pt idx="931">
                  <c:v>55.4555</c:v>
                </c:pt>
                <c:pt idx="932">
                  <c:v>63.9614</c:v>
                </c:pt>
                <c:pt idx="933">
                  <c:v>65.2164</c:v>
                </c:pt>
                <c:pt idx="934">
                  <c:v>73.7145</c:v>
                </c:pt>
                <c:pt idx="935">
                  <c:v>70.4847</c:v>
                </c:pt>
                <c:pt idx="936">
                  <c:v>80.5152</c:v>
                </c:pt>
                <c:pt idx="937">
                  <c:v>65.9686</c:v>
                </c:pt>
                <c:pt idx="938">
                  <c:v>67.9416</c:v>
                </c:pt>
                <c:pt idx="939">
                  <c:v>65.4289</c:v>
                </c:pt>
                <c:pt idx="940">
                  <c:v>63.8835</c:v>
                </c:pt>
                <c:pt idx="941">
                  <c:v>68.863</c:v>
                </c:pt>
                <c:pt idx="942">
                  <c:v>62.8912</c:v>
                </c:pt>
                <c:pt idx="943">
                  <c:v>53.6967</c:v>
                </c:pt>
                <c:pt idx="944">
                  <c:v>51.6651</c:v>
                </c:pt>
                <c:pt idx="945">
                  <c:v>55.5923</c:v>
                </c:pt>
                <c:pt idx="946">
                  <c:v>61.1412</c:v>
                </c:pt>
                <c:pt idx="947">
                  <c:v>60.9763</c:v>
                </c:pt>
                <c:pt idx="948">
                  <c:v>59.8621</c:v>
                </c:pt>
                <c:pt idx="949">
                  <c:v>51.6073</c:v>
                </c:pt>
                <c:pt idx="950">
                  <c:v>49.9276</c:v>
                </c:pt>
                <c:pt idx="951">
                  <c:v>70.0002</c:v>
                </c:pt>
                <c:pt idx="952">
                  <c:v>94.1532</c:v>
                </c:pt>
                <c:pt idx="953">
                  <c:v>101.9969</c:v>
                </c:pt>
                <c:pt idx="954">
                  <c:v>121.8361</c:v>
                </c:pt>
                <c:pt idx="955">
                  <c:v>112.2199</c:v>
                </c:pt>
                <c:pt idx="956">
                  <c:v>169.7373</c:v>
                </c:pt>
                <c:pt idx="957">
                  <c:v>276.2269</c:v>
                </c:pt>
                <c:pt idx="958">
                  <c:v>328.0259</c:v>
                </c:pt>
                <c:pt idx="959">
                  <c:v>161.1903</c:v>
                </c:pt>
                <c:pt idx="960">
                  <c:v>76.5295</c:v>
                </c:pt>
                <c:pt idx="961">
                  <c:v>43.9543</c:v>
                </c:pt>
                <c:pt idx="962">
                  <c:v>54.4243</c:v>
                </c:pt>
                <c:pt idx="963">
                  <c:v>47.2524</c:v>
                </c:pt>
                <c:pt idx="964">
                  <c:v>38.3159</c:v>
                </c:pt>
                <c:pt idx="965">
                  <c:v>38.3159</c:v>
                </c:pt>
                <c:pt idx="966">
                  <c:v>51.7139</c:v>
                </c:pt>
                <c:pt idx="967">
                  <c:v>57.2575</c:v>
                </c:pt>
                <c:pt idx="968">
                  <c:v>61.1582</c:v>
                </c:pt>
                <c:pt idx="969">
                  <c:v>132.2373</c:v>
                </c:pt>
                <c:pt idx="970">
                  <c:v>90.3462</c:v>
                </c:pt>
                <c:pt idx="971">
                  <c:v>97.396</c:v>
                </c:pt>
                <c:pt idx="972">
                  <c:v>89.451</c:v>
                </c:pt>
                <c:pt idx="973">
                  <c:v>78.8554</c:v>
                </c:pt>
                <c:pt idx="974">
                  <c:v>76.1681</c:v>
                </c:pt>
                <c:pt idx="975">
                  <c:v>63.5205</c:v>
                </c:pt>
                <c:pt idx="976">
                  <c:v>56.4782</c:v>
                </c:pt>
                <c:pt idx="977">
                  <c:v>56.9823</c:v>
                </c:pt>
                <c:pt idx="978">
                  <c:v>57.2438</c:v>
                </c:pt>
                <c:pt idx="979">
                  <c:v>57.5409</c:v>
                </c:pt>
                <c:pt idx="980">
                  <c:v>53.8675</c:v>
                </c:pt>
                <c:pt idx="981">
                  <c:v>51.4077</c:v>
                </c:pt>
                <c:pt idx="982">
                  <c:v>49.8911</c:v>
                </c:pt>
                <c:pt idx="983">
                  <c:v>49.1639</c:v>
                </c:pt>
                <c:pt idx="984">
                  <c:v>48.1405</c:v>
                </c:pt>
                <c:pt idx="985">
                  <c:v>39.9232</c:v>
                </c:pt>
                <c:pt idx="986">
                  <c:v>39.9284</c:v>
                </c:pt>
                <c:pt idx="987">
                  <c:v>40.7215</c:v>
                </c:pt>
                <c:pt idx="988">
                  <c:v>38.8743</c:v>
                </c:pt>
                <c:pt idx="989">
                  <c:v>39.4541</c:v>
                </c:pt>
                <c:pt idx="990">
                  <c:v>38.9507</c:v>
                </c:pt>
                <c:pt idx="991">
                  <c:v>38.85</c:v>
                </c:pt>
                <c:pt idx="992">
                  <c:v>39.3462</c:v>
                </c:pt>
                <c:pt idx="993">
                  <c:v>37.6707</c:v>
                </c:pt>
                <c:pt idx="994">
                  <c:v>35.6526</c:v>
                </c:pt>
                <c:pt idx="995">
                  <c:v>33.5494</c:v>
                </c:pt>
                <c:pt idx="996">
                  <c:v>35.1616</c:v>
                </c:pt>
                <c:pt idx="997">
                  <c:v>44.3341</c:v>
                </c:pt>
                <c:pt idx="998">
                  <c:v>36.6773</c:v>
                </c:pt>
                <c:pt idx="999">
                  <c:v>43.7363</c:v>
                </c:pt>
                <c:pt idx="1000">
                  <c:v>42.9583</c:v>
                </c:pt>
                <c:pt idx="1001">
                  <c:v>42.5066</c:v>
                </c:pt>
                <c:pt idx="1002">
                  <c:v>46.0491</c:v>
                </c:pt>
                <c:pt idx="1003">
                  <c:v>43.3868</c:v>
                </c:pt>
                <c:pt idx="1004">
                  <c:v>43.4962</c:v>
                </c:pt>
                <c:pt idx="1005">
                  <c:v>41.6826</c:v>
                </c:pt>
                <c:pt idx="1006">
                  <c:v>39.1083</c:v>
                </c:pt>
                <c:pt idx="1007">
                  <c:v>39.5498</c:v>
                </c:pt>
                <c:pt idx="1008">
                  <c:v>34.8477</c:v>
                </c:pt>
                <c:pt idx="1009">
                  <c:v>35.963</c:v>
                </c:pt>
                <c:pt idx="1010">
                  <c:v>41.9165</c:v>
                </c:pt>
                <c:pt idx="1011">
                  <c:v>40.4788</c:v>
                </c:pt>
                <c:pt idx="1012">
                  <c:v>34.6828</c:v>
                </c:pt>
                <c:pt idx="1013">
                  <c:v>39.4148</c:v>
                </c:pt>
                <c:pt idx="1014">
                  <c:v>38.5534</c:v>
                </c:pt>
                <c:pt idx="1015">
                  <c:v>39.4175</c:v>
                </c:pt>
                <c:pt idx="1016">
                  <c:v>37.1749</c:v>
                </c:pt>
                <c:pt idx="1017">
                  <c:v>37.9109</c:v>
                </c:pt>
                <c:pt idx="1018">
                  <c:v>35.9396</c:v>
                </c:pt>
                <c:pt idx="1019">
                  <c:v>34.8813</c:v>
                </c:pt>
                <c:pt idx="1020">
                  <c:v>34.2759</c:v>
                </c:pt>
                <c:pt idx="1021">
                  <c:v>35.608</c:v>
                </c:pt>
                <c:pt idx="1022">
                  <c:v>37.0921</c:v>
                </c:pt>
                <c:pt idx="1023">
                  <c:v>32.7804</c:v>
                </c:pt>
                <c:pt idx="1024">
                  <c:v>36.1679</c:v>
                </c:pt>
                <c:pt idx="1025">
                  <c:v>40.5869</c:v>
                </c:pt>
                <c:pt idx="1026">
                  <c:v>46.1906</c:v>
                </c:pt>
                <c:pt idx="1027">
                  <c:v>41.1889</c:v>
                </c:pt>
                <c:pt idx="1028">
                  <c:v>43.7004</c:v>
                </c:pt>
                <c:pt idx="1029">
                  <c:v>36.6758</c:v>
                </c:pt>
                <c:pt idx="1030">
                  <c:v>37.8566</c:v>
                </c:pt>
                <c:pt idx="1031">
                  <c:v>34.1327</c:v>
                </c:pt>
                <c:pt idx="1032">
                  <c:v>42.41</c:v>
                </c:pt>
                <c:pt idx="1033">
                  <c:v>46.6313</c:v>
                </c:pt>
                <c:pt idx="1034">
                  <c:v>46.4414</c:v>
                </c:pt>
                <c:pt idx="1035">
                  <c:v>48.572</c:v>
                </c:pt>
                <c:pt idx="1036">
                  <c:v>50.529</c:v>
                </c:pt>
                <c:pt idx="1037">
                  <c:v>52.2877</c:v>
                </c:pt>
                <c:pt idx="1038">
                  <c:v>62.9142</c:v>
                </c:pt>
                <c:pt idx="1039">
                  <c:v>58.1823</c:v>
                </c:pt>
                <c:pt idx="1040">
                  <c:v>54.8534</c:v>
                </c:pt>
                <c:pt idx="1041">
                  <c:v>53.7015</c:v>
                </c:pt>
                <c:pt idx="1042">
                  <c:v>52.8046</c:v>
                </c:pt>
                <c:pt idx="1043">
                  <c:v>50.4197</c:v>
                </c:pt>
                <c:pt idx="1044">
                  <c:v>52.5074</c:v>
                </c:pt>
                <c:pt idx="1045">
                  <c:v>55.9439</c:v>
                </c:pt>
                <c:pt idx="1046">
                  <c:v>47.4414</c:v>
                </c:pt>
                <c:pt idx="1047">
                  <c:v>44.4959</c:v>
                </c:pt>
                <c:pt idx="1048">
                  <c:v>42.6149</c:v>
                </c:pt>
                <c:pt idx="1049">
                  <c:v>27.4511</c:v>
                </c:pt>
                <c:pt idx="1050">
                  <c:v>49.9926</c:v>
                </c:pt>
                <c:pt idx="1051">
                  <c:v>50.1592</c:v>
                </c:pt>
                <c:pt idx="1052">
                  <c:v>51.4408</c:v>
                </c:pt>
                <c:pt idx="1053">
                  <c:v>47.8908</c:v>
                </c:pt>
                <c:pt idx="1054">
                  <c:v>40.962</c:v>
                </c:pt>
                <c:pt idx="1055">
                  <c:v>33.7119</c:v>
                </c:pt>
                <c:pt idx="1056">
                  <c:v>51.7432</c:v>
                </c:pt>
                <c:pt idx="1057">
                  <c:v>48.6666</c:v>
                </c:pt>
                <c:pt idx="1058">
                  <c:v>43.8155</c:v>
                </c:pt>
                <c:pt idx="1059">
                  <c:v>46.8499</c:v>
                </c:pt>
                <c:pt idx="1060">
                  <c:v>40.0139</c:v>
                </c:pt>
                <c:pt idx="1061">
                  <c:v>45.8017</c:v>
                </c:pt>
                <c:pt idx="1062">
                  <c:v>43.2128</c:v>
                </c:pt>
                <c:pt idx="1063">
                  <c:v>43.9279</c:v>
                </c:pt>
                <c:pt idx="1064">
                  <c:v>52.2533</c:v>
                </c:pt>
                <c:pt idx="1065">
                  <c:v>46.0821</c:v>
                </c:pt>
                <c:pt idx="1066">
                  <c:v>50.8185</c:v>
                </c:pt>
                <c:pt idx="1067">
                  <c:v>52.9076</c:v>
                </c:pt>
                <c:pt idx="1068">
                  <c:v>36.2591</c:v>
                </c:pt>
                <c:pt idx="1069">
                  <c:v>43.4394</c:v>
                </c:pt>
                <c:pt idx="1070">
                  <c:v>44.1759</c:v>
                </c:pt>
                <c:pt idx="1071">
                  <c:v>48.6877</c:v>
                </c:pt>
                <c:pt idx="1072">
                  <c:v>56.8195</c:v>
                </c:pt>
                <c:pt idx="1073">
                  <c:v>45.0662</c:v>
                </c:pt>
                <c:pt idx="1074">
                  <c:v>51.3593</c:v>
                </c:pt>
                <c:pt idx="1075">
                  <c:v>60.2872</c:v>
                </c:pt>
                <c:pt idx="1076">
                  <c:v>57.5919</c:v>
                </c:pt>
                <c:pt idx="1077">
                  <c:v>57.8566</c:v>
                </c:pt>
                <c:pt idx="1078">
                  <c:v>58.0927</c:v>
                </c:pt>
                <c:pt idx="1079">
                  <c:v>58.2054</c:v>
                </c:pt>
                <c:pt idx="1080">
                  <c:v>58.6633</c:v>
                </c:pt>
                <c:pt idx="1081">
                  <c:v>81.0926</c:v>
                </c:pt>
                <c:pt idx="1082">
                  <c:v>108.5689</c:v>
                </c:pt>
                <c:pt idx="1083">
                  <c:v>115.1715</c:v>
                </c:pt>
                <c:pt idx="1084">
                  <c:v>93.2606</c:v>
                </c:pt>
                <c:pt idx="1085">
                  <c:v>83.7807</c:v>
                </c:pt>
                <c:pt idx="1086">
                  <c:v>97.8338</c:v>
                </c:pt>
                <c:pt idx="1087">
                  <c:v>90.9903</c:v>
                </c:pt>
                <c:pt idx="1088">
                  <c:v>72.1105</c:v>
                </c:pt>
                <c:pt idx="1089">
                  <c:v>65.0745</c:v>
                </c:pt>
                <c:pt idx="1090">
                  <c:v>82.824</c:v>
                </c:pt>
                <c:pt idx="1091">
                  <c:v>109.3315</c:v>
                </c:pt>
                <c:pt idx="1092">
                  <c:v>162.7322</c:v>
                </c:pt>
                <c:pt idx="1093">
                  <c:v>128.9719</c:v>
                </c:pt>
                <c:pt idx="1094">
                  <c:v>136.54</c:v>
                </c:pt>
                <c:pt idx="1095">
                  <c:v>100.5532</c:v>
                </c:pt>
                <c:pt idx="1096">
                  <c:v>94.3962</c:v>
                </c:pt>
                <c:pt idx="1097">
                  <c:v>108.5774</c:v>
                </c:pt>
                <c:pt idx="1098">
                  <c:v>86.0301</c:v>
                </c:pt>
                <c:pt idx="1099">
                  <c:v>72.1782</c:v>
                </c:pt>
                <c:pt idx="1100">
                  <c:v>68.4965</c:v>
                </c:pt>
                <c:pt idx="1101">
                  <c:v>70.0365</c:v>
                </c:pt>
                <c:pt idx="1102">
                  <c:v>68.4409</c:v>
                </c:pt>
                <c:pt idx="1103">
                  <c:v>64.2929</c:v>
                </c:pt>
                <c:pt idx="1104">
                  <c:v>56.0829</c:v>
                </c:pt>
                <c:pt idx="1105">
                  <c:v>67.2099</c:v>
                </c:pt>
                <c:pt idx="1106">
                  <c:v>62.7255</c:v>
                </c:pt>
                <c:pt idx="1107">
                  <c:v>47.7921</c:v>
                </c:pt>
                <c:pt idx="1108">
                  <c:v>52.4368</c:v>
                </c:pt>
                <c:pt idx="1109">
                  <c:v>49.1002</c:v>
                </c:pt>
                <c:pt idx="1110">
                  <c:v>57.7258</c:v>
                </c:pt>
                <c:pt idx="1111">
                  <c:v>60.9584</c:v>
                </c:pt>
                <c:pt idx="1112">
                  <c:v>55.4972</c:v>
                </c:pt>
                <c:pt idx="1113">
                  <c:v>52.9734</c:v>
                </c:pt>
                <c:pt idx="1114">
                  <c:v>51.7265</c:v>
                </c:pt>
                <c:pt idx="1115">
                  <c:v>51.0287</c:v>
                </c:pt>
                <c:pt idx="1116">
                  <c:v>50.8616</c:v>
                </c:pt>
                <c:pt idx="1117">
                  <c:v>49.2287</c:v>
                </c:pt>
                <c:pt idx="1118">
                  <c:v>51.9725</c:v>
                </c:pt>
                <c:pt idx="1119">
                  <c:v>58.4465</c:v>
                </c:pt>
                <c:pt idx="1120">
                  <c:v>65.8845</c:v>
                </c:pt>
                <c:pt idx="1121">
                  <c:v>51.7746</c:v>
                </c:pt>
                <c:pt idx="1122">
                  <c:v>61.0016</c:v>
                </c:pt>
                <c:pt idx="1123">
                  <c:v>64.6606</c:v>
                </c:pt>
                <c:pt idx="1124">
                  <c:v>65.1583</c:v>
                </c:pt>
                <c:pt idx="1125">
                  <c:v>58.5103</c:v>
                </c:pt>
                <c:pt idx="1126">
                  <c:v>68.6554</c:v>
                </c:pt>
                <c:pt idx="1127">
                  <c:v>67.8145</c:v>
                </c:pt>
                <c:pt idx="1128">
                  <c:v>72.8742</c:v>
                </c:pt>
                <c:pt idx="1129">
                  <c:v>84.2691</c:v>
                </c:pt>
                <c:pt idx="1130">
                  <c:v>87.3769</c:v>
                </c:pt>
                <c:pt idx="1131">
                  <c:v>95.6199</c:v>
                </c:pt>
                <c:pt idx="1132">
                  <c:v>98.7831</c:v>
                </c:pt>
                <c:pt idx="1133">
                  <c:v>96.3814</c:v>
                </c:pt>
                <c:pt idx="1134">
                  <c:v>105.5798</c:v>
                </c:pt>
                <c:pt idx="1135">
                  <c:v>102.654</c:v>
                </c:pt>
                <c:pt idx="1136">
                  <c:v>89.6019</c:v>
                </c:pt>
                <c:pt idx="1137">
                  <c:v>95.4578</c:v>
                </c:pt>
                <c:pt idx="1138">
                  <c:v>95.5833</c:v>
                </c:pt>
                <c:pt idx="1139">
                  <c:v>95.9351</c:v>
                </c:pt>
                <c:pt idx="1140">
                  <c:v>100.4093</c:v>
                </c:pt>
                <c:pt idx="1141">
                  <c:v>95.8064</c:v>
                </c:pt>
                <c:pt idx="1142">
                  <c:v>94.8039</c:v>
                </c:pt>
                <c:pt idx="1143">
                  <c:v>94.9132</c:v>
                </c:pt>
                <c:pt idx="1144">
                  <c:v>95.2599</c:v>
                </c:pt>
                <c:pt idx="1145">
                  <c:v>96.1373</c:v>
                </c:pt>
                <c:pt idx="1146">
                  <c:v>105.9036</c:v>
                </c:pt>
                <c:pt idx="1147">
                  <c:v>112.5241</c:v>
                </c:pt>
                <c:pt idx="1148">
                  <c:v>92.1232</c:v>
                </c:pt>
                <c:pt idx="1149">
                  <c:v>107.4964</c:v>
                </c:pt>
                <c:pt idx="1150">
                  <c:v>94.779</c:v>
                </c:pt>
                <c:pt idx="1151">
                  <c:v>93.464</c:v>
                </c:pt>
                <c:pt idx="1152">
                  <c:v>97.6949</c:v>
                </c:pt>
                <c:pt idx="1153">
                  <c:v>94.1093</c:v>
                </c:pt>
                <c:pt idx="1154">
                  <c:v>81.6827</c:v>
                </c:pt>
                <c:pt idx="1155">
                  <c:v>73.7201</c:v>
                </c:pt>
                <c:pt idx="1156">
                  <c:v>62.2026</c:v>
                </c:pt>
                <c:pt idx="1157">
                  <c:v>67.8472</c:v>
                </c:pt>
                <c:pt idx="1158">
                  <c:v>62.8631</c:v>
                </c:pt>
                <c:pt idx="1159">
                  <c:v>58.5093</c:v>
                </c:pt>
                <c:pt idx="1160">
                  <c:v>56.7026</c:v>
                </c:pt>
                <c:pt idx="1161">
                  <c:v>51.5752</c:v>
                </c:pt>
                <c:pt idx="1162">
                  <c:v>54.4288</c:v>
                </c:pt>
                <c:pt idx="1163">
                  <c:v>53.01</c:v>
                </c:pt>
                <c:pt idx="1164">
                  <c:v>59.7858</c:v>
                </c:pt>
                <c:pt idx="1165">
                  <c:v>53.64680099487305</c:v>
                </c:pt>
                <c:pt idx="1166">
                  <c:v>54.10139846801758</c:v>
                </c:pt>
                <c:pt idx="1167">
                  <c:v>53.95119857788086</c:v>
                </c:pt>
                <c:pt idx="1168">
                  <c:v>48.575599670410156</c:v>
                </c:pt>
                <c:pt idx="1169">
                  <c:v>46.49909973144531</c:v>
                </c:pt>
                <c:pt idx="1170">
                  <c:v>42.5546989440918</c:v>
                </c:pt>
                <c:pt idx="1171">
                  <c:v>42.45140075683594</c:v>
                </c:pt>
                <c:pt idx="1172">
                  <c:v>48.186798095703125</c:v>
                </c:pt>
                <c:pt idx="1173">
                  <c:v>51.31549835205078</c:v>
                </c:pt>
                <c:pt idx="1174">
                  <c:v>55.15039825439453</c:v>
                </c:pt>
                <c:pt idx="1175">
                  <c:v>52.23749923706055</c:v>
                </c:pt>
                <c:pt idx="1176">
                  <c:v>36.35540008544922</c:v>
                </c:pt>
                <c:pt idx="1177">
                  <c:v>56.26580047607422</c:v>
                </c:pt>
                <c:pt idx="1178">
                  <c:v>55.67770004272461</c:v>
                </c:pt>
                <c:pt idx="1179">
                  <c:v>54.24150085449219</c:v>
                </c:pt>
                <c:pt idx="1180">
                  <c:v>54.9213981628418</c:v>
                </c:pt>
                <c:pt idx="1181">
                  <c:v>50.697200775146484</c:v>
                </c:pt>
                <c:pt idx="1182">
                  <c:v>47.020999908447266</c:v>
                </c:pt>
                <c:pt idx="1183">
                  <c:v>46.109798431396484</c:v>
                </c:pt>
                <c:pt idx="1184">
                  <c:v>51.96540069580078</c:v>
                </c:pt>
                <c:pt idx="1185">
                  <c:v>51.78049850463867</c:v>
                </c:pt>
                <c:pt idx="1186">
                  <c:v>46.17290115356445</c:v>
                </c:pt>
                <c:pt idx="1187">
                  <c:v>45.157901763916016</c:v>
                </c:pt>
                <c:pt idx="1188">
                  <c:v>40.07460021972656</c:v>
                </c:pt>
                <c:pt idx="1189">
                  <c:v>40.30099868774414</c:v>
                </c:pt>
                <c:pt idx="1190">
                  <c:v>39.2681999206543</c:v>
                </c:pt>
                <c:pt idx="1191">
                  <c:v>36.71080017089844</c:v>
                </c:pt>
                <c:pt idx="1192">
                  <c:v>37.365299224853516</c:v>
                </c:pt>
                <c:pt idx="1193">
                  <c:v>43.756900787353516</c:v>
                </c:pt>
                <c:pt idx="1194">
                  <c:v>44.0161018371582</c:v>
                </c:pt>
                <c:pt idx="1195">
                  <c:v>43.114498138427734</c:v>
                </c:pt>
                <c:pt idx="1196">
                  <c:v>43.0447998046875</c:v>
                </c:pt>
                <c:pt idx="1197">
                  <c:v>47.689701080322266</c:v>
                </c:pt>
                <c:pt idx="1198">
                  <c:v>51.778499603271484</c:v>
                </c:pt>
                <c:pt idx="1199">
                  <c:v>60.18960189819336</c:v>
                </c:pt>
                <c:pt idx="1200">
                  <c:v>56.924400329589844</c:v>
                </c:pt>
                <c:pt idx="1201">
                  <c:v>48.98059844970703</c:v>
                </c:pt>
                <c:pt idx="1202">
                  <c:v>60.75910186767578</c:v>
                </c:pt>
                <c:pt idx="1203">
                  <c:v>64.95570373535156</c:v>
                </c:pt>
                <c:pt idx="1204">
                  <c:v>67.37989807128906</c:v>
                </c:pt>
                <c:pt idx="1205">
                  <c:v>70.18830108642578</c:v>
                </c:pt>
                <c:pt idx="1206">
                  <c:v>66.75849914550781</c:v>
                </c:pt>
                <c:pt idx="1207">
                  <c:v>66.29180145263672</c:v>
                </c:pt>
                <c:pt idx="1208">
                  <c:v>62.91709899902344</c:v>
                </c:pt>
                <c:pt idx="1209">
                  <c:v>66.20249938964844</c:v>
                </c:pt>
                <c:pt idx="1210">
                  <c:v>51.50299835205078</c:v>
                </c:pt>
                <c:pt idx="1211">
                  <c:v>32.96879959106445</c:v>
                </c:pt>
                <c:pt idx="1212">
                  <c:v>18.092599868774414</c:v>
                </c:pt>
                <c:pt idx="1213">
                  <c:v>23.92919921875</c:v>
                </c:pt>
                <c:pt idx="1214">
                  <c:v>17.104000091552734</c:v>
                </c:pt>
                <c:pt idx="1215">
                  <c:v>31.445100784301758</c:v>
                </c:pt>
                <c:pt idx="1216">
                  <c:v>46.970699310302734</c:v>
                </c:pt>
                <c:pt idx="1217">
                  <c:v>122.34200286865234</c:v>
                </c:pt>
                <c:pt idx="1218">
                  <c:v>108.54299926757812</c:v>
                </c:pt>
                <c:pt idx="1219">
                  <c:v>79.55709838867188</c:v>
                </c:pt>
                <c:pt idx="1220">
                  <c:v>70.14510345458984</c:v>
                </c:pt>
                <c:pt idx="1221">
                  <c:v>63.4370002746582</c:v>
                </c:pt>
                <c:pt idx="1222">
                  <c:v>55.19300079345703</c:v>
                </c:pt>
                <c:pt idx="1223">
                  <c:v>48.40520095825195</c:v>
                </c:pt>
                <c:pt idx="1224">
                  <c:v>44.8025016784668</c:v>
                </c:pt>
                <c:pt idx="1225">
                  <c:v>47.01070022583008</c:v>
                </c:pt>
                <c:pt idx="1226">
                  <c:v>50.94599914550781</c:v>
                </c:pt>
                <c:pt idx="1227">
                  <c:v>53.04059982299805</c:v>
                </c:pt>
                <c:pt idx="1228">
                  <c:v>50.33980178833008</c:v>
                </c:pt>
                <c:pt idx="1229">
                  <c:v>52.21780014038086</c:v>
                </c:pt>
                <c:pt idx="1230">
                  <c:v>48.45439910888672</c:v>
                </c:pt>
                <c:pt idx="1231">
                  <c:v>48.387901306152344</c:v>
                </c:pt>
                <c:pt idx="1232">
                  <c:v>55.13249969482422</c:v>
                </c:pt>
                <c:pt idx="1233">
                  <c:v>55.057899475097656</c:v>
                </c:pt>
                <c:pt idx="1234">
                  <c:v>59.419898986816406</c:v>
                </c:pt>
                <c:pt idx="1235">
                  <c:v>61.23030090332031</c:v>
                </c:pt>
                <c:pt idx="1236">
                  <c:v>75.01850128173828</c:v>
                </c:pt>
                <c:pt idx="1237">
                  <c:v>50.57040023803711</c:v>
                </c:pt>
                <c:pt idx="1238">
                  <c:v>61.78850173950195</c:v>
                </c:pt>
                <c:pt idx="1239">
                  <c:v>67.3864974975586</c:v>
                </c:pt>
                <c:pt idx="1240">
                  <c:v>74.82440185546875</c:v>
                </c:pt>
                <c:pt idx="1241">
                  <c:v>77.38870239257812</c:v>
                </c:pt>
                <c:pt idx="1242">
                  <c:v>81.29889678955078</c:v>
                </c:pt>
                <c:pt idx="1243">
                  <c:v>96.79889678955078</c:v>
                </c:pt>
                <c:pt idx="1244">
                  <c:v>85.6061019897461</c:v>
                </c:pt>
                <c:pt idx="1245">
                  <c:v>98.73519897460938</c:v>
                </c:pt>
                <c:pt idx="1246">
                  <c:v>76.8822021484375</c:v>
                </c:pt>
                <c:pt idx="1247">
                  <c:v>64.98059844970703</c:v>
                </c:pt>
                <c:pt idx="1248">
                  <c:v>79.54850006103516</c:v>
                </c:pt>
                <c:pt idx="1249">
                  <c:v>75.50630187988281</c:v>
                </c:pt>
                <c:pt idx="1250">
                  <c:v>63.180599212646484</c:v>
                </c:pt>
                <c:pt idx="1251">
                  <c:v>64.043701171875</c:v>
                </c:pt>
                <c:pt idx="1252">
                  <c:v>63.05500030517578</c:v>
                </c:pt>
                <c:pt idx="1253">
                  <c:v>59.18539810180664</c:v>
                </c:pt>
                <c:pt idx="1254">
                  <c:v>62.70669937133789</c:v>
                </c:pt>
                <c:pt idx="1255">
                  <c:v>59.349098205566406</c:v>
                </c:pt>
                <c:pt idx="1256">
                  <c:v>57.490699768066406</c:v>
                </c:pt>
                <c:pt idx="1257">
                  <c:v>54.78329849243164</c:v>
                </c:pt>
                <c:pt idx="1258">
                  <c:v>57.8406982421875</c:v>
                </c:pt>
                <c:pt idx="1259">
                  <c:v>55.577598571777344</c:v>
                </c:pt>
                <c:pt idx="1260">
                  <c:v>59.104000091552734</c:v>
                </c:pt>
                <c:pt idx="1261">
                  <c:v>60.189998626708984</c:v>
                </c:pt>
                <c:pt idx="1262">
                  <c:v>57.30329895019531</c:v>
                </c:pt>
                <c:pt idx="1263">
                  <c:v>57.86349868774414</c:v>
                </c:pt>
                <c:pt idx="1264">
                  <c:v>56.17129898071289</c:v>
                </c:pt>
                <c:pt idx="1265">
                  <c:v>55.31809997558594</c:v>
                </c:pt>
                <c:pt idx="1266">
                  <c:v>52.055599212646484</c:v>
                </c:pt>
                <c:pt idx="1267">
                  <c:v>50.86309814453125</c:v>
                </c:pt>
                <c:pt idx="1268">
                  <c:v>50.48619842529297</c:v>
                </c:pt>
                <c:pt idx="1269">
                  <c:v>53.2755012512207</c:v>
                </c:pt>
                <c:pt idx="1270">
                  <c:v>50.6328010559082</c:v>
                </c:pt>
                <c:pt idx="1271">
                  <c:v>47.48469924926758</c:v>
                </c:pt>
                <c:pt idx="1272">
                  <c:v>44.77299880981445</c:v>
                </c:pt>
                <c:pt idx="1273">
                  <c:v>41.10179901123047</c:v>
                </c:pt>
                <c:pt idx="1274">
                  <c:v>46.13100051879883</c:v>
                </c:pt>
                <c:pt idx="1275">
                  <c:v>52.012699127197266</c:v>
                </c:pt>
                <c:pt idx="1276">
                  <c:v>47.621498107910156</c:v>
                </c:pt>
                <c:pt idx="1277">
                  <c:v>45.10940170288086</c:v>
                </c:pt>
                <c:pt idx="1278">
                  <c:v>50.233299255371094</c:v>
                </c:pt>
                <c:pt idx="1279">
                  <c:v>53.42919921875</c:v>
                </c:pt>
                <c:pt idx="1280">
                  <c:v>58.385101318359375</c:v>
                </c:pt>
                <c:pt idx="1281">
                  <c:v>57.10329818725586</c:v>
                </c:pt>
                <c:pt idx="1282">
                  <c:v>50.74509811401367</c:v>
                </c:pt>
                <c:pt idx="1283">
                  <c:v>48.08190155029297</c:v>
                </c:pt>
                <c:pt idx="1284">
                  <c:v>51.87120056152344</c:v>
                </c:pt>
                <c:pt idx="1285">
                  <c:v>50.63130187988281</c:v>
                </c:pt>
                <c:pt idx="1286">
                  <c:v>41.052398681640625</c:v>
                </c:pt>
                <c:pt idx="1287">
                  <c:v>54.84400177001953</c:v>
                </c:pt>
                <c:pt idx="1288">
                  <c:v>54.730899810791016</c:v>
                </c:pt>
                <c:pt idx="1289">
                  <c:v>44.182701110839844</c:v>
                </c:pt>
                <c:pt idx="1290">
                  <c:v>54.0177001953125</c:v>
                </c:pt>
                <c:pt idx="1291">
                  <c:v>49.1963996887207</c:v>
                </c:pt>
                <c:pt idx="1292">
                  <c:v>46.56740188598633</c:v>
                </c:pt>
                <c:pt idx="1293">
                  <c:v>40.10390090942383</c:v>
                </c:pt>
                <c:pt idx="1294">
                  <c:v>45.234100341796875</c:v>
                </c:pt>
                <c:pt idx="1295">
                  <c:v>51.37139892578125</c:v>
                </c:pt>
                <c:pt idx="1296">
                  <c:v>53.041099548339844</c:v>
                </c:pt>
                <c:pt idx="1297">
                  <c:v>51.37139892578125</c:v>
                </c:pt>
                <c:pt idx="1298">
                  <c:v>48.90290069580078</c:v>
                </c:pt>
                <c:pt idx="1299">
                  <c:v>44.1869010925293</c:v>
                </c:pt>
                <c:pt idx="1300">
                  <c:v>54.404701232910156</c:v>
                </c:pt>
                <c:pt idx="1301">
                  <c:v>52.969600677490234</c:v>
                </c:pt>
                <c:pt idx="1302">
                  <c:v>52.97570037841797</c:v>
                </c:pt>
                <c:pt idx="1303">
                  <c:v>49.739601135253906</c:v>
                </c:pt>
                <c:pt idx="1304">
                  <c:v>57.34600067138672</c:v>
                </c:pt>
                <c:pt idx="1305">
                  <c:v>47.50389862060547</c:v>
                </c:pt>
                <c:pt idx="1306">
                  <c:v>53.739200592041016</c:v>
                </c:pt>
                <c:pt idx="1307">
                  <c:v>59.58430099487305</c:v>
                </c:pt>
                <c:pt idx="1308">
                  <c:v>55.630699157714844</c:v>
                </c:pt>
                <c:pt idx="1309">
                  <c:v>54.6593017578125</c:v>
                </c:pt>
                <c:pt idx="1310">
                  <c:v>55.70819854736328</c:v>
                </c:pt>
                <c:pt idx="1311">
                  <c:v>59.48910140991211</c:v>
                </c:pt>
                <c:pt idx="1312">
                  <c:v>38.25740051269531</c:v>
                </c:pt>
                <c:pt idx="1313">
                  <c:v>66.6343002319336</c:v>
                </c:pt>
                <c:pt idx="1314">
                  <c:v>77.91950225830078</c:v>
                </c:pt>
                <c:pt idx="1315">
                  <c:v>74.42520141601562</c:v>
                </c:pt>
                <c:pt idx="1316">
                  <c:v>77.86229705810547</c:v>
                </c:pt>
                <c:pt idx="1317">
                  <c:v>74.43090057373047</c:v>
                </c:pt>
                <c:pt idx="1318">
                  <c:v>77.66320037841797</c:v>
                </c:pt>
                <c:pt idx="1319">
                  <c:v>80.216796875</c:v>
                </c:pt>
                <c:pt idx="1320">
                  <c:v>77.4833984375</c:v>
                </c:pt>
                <c:pt idx="1321">
                  <c:v>62.67399978637695</c:v>
                </c:pt>
                <c:pt idx="1322">
                  <c:v>76.18049621582031</c:v>
                </c:pt>
                <c:pt idx="1323">
                  <c:v>104.28880310058594</c:v>
                </c:pt>
                <c:pt idx="1324">
                  <c:v>95.48400115966797</c:v>
                </c:pt>
                <c:pt idx="1325">
                  <c:v>50.72819900512695</c:v>
                </c:pt>
                <c:pt idx="1326">
                  <c:v>53.70560073852539</c:v>
                </c:pt>
                <c:pt idx="1327">
                  <c:v>94.720703125</c:v>
                </c:pt>
                <c:pt idx="1328">
                  <c:v>92.15390014648438</c:v>
                </c:pt>
                <c:pt idx="1329">
                  <c:v>146.38290405273438</c:v>
                </c:pt>
                <c:pt idx="1330">
                  <c:v>201.918701171875</c:v>
                </c:pt>
                <c:pt idx="1331">
                  <c:v>150.1793975830078</c:v>
                </c:pt>
                <c:pt idx="1332">
                  <c:v>120.90709686279297</c:v>
                </c:pt>
                <c:pt idx="1333">
                  <c:v>80.74490356445312</c:v>
                </c:pt>
                <c:pt idx="1334">
                  <c:v>83.40409851074219</c:v>
                </c:pt>
                <c:pt idx="1335">
                  <c:v>79.20189666748047</c:v>
                </c:pt>
                <c:pt idx="1336">
                  <c:v>67.91179656982422</c:v>
                </c:pt>
                <c:pt idx="1337">
                  <c:v>75.0322036743164</c:v>
                </c:pt>
                <c:pt idx="1338">
                  <c:v>86.65460205078125</c:v>
                </c:pt>
                <c:pt idx="1339">
                  <c:v>84.21839904785156</c:v>
                </c:pt>
                <c:pt idx="1340">
                  <c:v>96.17900085449219</c:v>
                </c:pt>
                <c:pt idx="1341">
                  <c:v>78.33190155029297</c:v>
                </c:pt>
                <c:pt idx="1342">
                  <c:v>83.68560028076172</c:v>
                </c:pt>
                <c:pt idx="1343">
                  <c:v>249.0146026611328</c:v>
                </c:pt>
                <c:pt idx="1344">
                  <c:v>323.9360046386719</c:v>
                </c:pt>
                <c:pt idx="1345">
                  <c:v>213.88540649414062</c:v>
                </c:pt>
                <c:pt idx="1346">
                  <c:v>114.8125991821289</c:v>
                </c:pt>
                <c:pt idx="1347">
                  <c:v>208.4510955810547</c:v>
                </c:pt>
                <c:pt idx="1348">
                  <c:v>218.4459991455078</c:v>
                </c:pt>
                <c:pt idx="1349">
                  <c:v>259.4961853027344</c:v>
                </c:pt>
                <c:pt idx="1350">
                  <c:v>151.87559509277344</c:v>
                </c:pt>
                <c:pt idx="1351">
                  <c:v>94.68990325927734</c:v>
                </c:pt>
                <c:pt idx="1352">
                  <c:v>92.44190216064453</c:v>
                </c:pt>
                <c:pt idx="1353">
                  <c:v>74.24400329589844</c:v>
                </c:pt>
                <c:pt idx="1354">
                  <c:v>59.4015007019043</c:v>
                </c:pt>
                <c:pt idx="1355">
                  <c:v>60.39360046386719</c:v>
                </c:pt>
                <c:pt idx="1356">
                  <c:v>87.93329620361328</c:v>
                </c:pt>
                <c:pt idx="1357">
                  <c:v>113.07319641113281</c:v>
                </c:pt>
                <c:pt idx="1358">
                  <c:v>116.79660034179688</c:v>
                </c:pt>
                <c:pt idx="1359">
                  <c:v>149.22720336914062</c:v>
                </c:pt>
                <c:pt idx="1360">
                  <c:v>171.0803985595703</c:v>
                </c:pt>
                <c:pt idx="1361">
                  <c:v>246.69020080566406</c:v>
                </c:pt>
                <c:pt idx="1362">
                  <c:v>394.5205078125</c:v>
                </c:pt>
                <c:pt idx="1363">
                  <c:v>170.47439575195312</c:v>
                </c:pt>
                <c:pt idx="1364">
                  <c:v>99.73560333251953</c:v>
                </c:pt>
                <c:pt idx="1365">
                  <c:v>115.21790313720703</c:v>
                </c:pt>
                <c:pt idx="1366">
                  <c:v>80.78720092773438</c:v>
                </c:pt>
                <c:pt idx="1367">
                  <c:v>79.69329833984375</c:v>
                </c:pt>
                <c:pt idx="1368">
                  <c:v>74.26599884033203</c:v>
                </c:pt>
                <c:pt idx="1369">
                  <c:v>62.41189956665039</c:v>
                </c:pt>
                <c:pt idx="1370">
                  <c:v>72.02040100097656</c:v>
                </c:pt>
                <c:pt idx="1371">
                  <c:v>73.50879669189453</c:v>
                </c:pt>
                <c:pt idx="1372">
                  <c:v>80.94349670410156</c:v>
                </c:pt>
                <c:pt idx="1373">
                  <c:v>75.6458969116211</c:v>
                </c:pt>
                <c:pt idx="1374">
                  <c:v>69.63580322265625</c:v>
                </c:pt>
                <c:pt idx="1375">
                  <c:v>60.89469909667969</c:v>
                </c:pt>
                <c:pt idx="1376">
                  <c:v>54.48350143432617</c:v>
                </c:pt>
                <c:pt idx="1377">
                  <c:v>57.96979904174805</c:v>
                </c:pt>
                <c:pt idx="1378">
                  <c:v>58.384700775146484</c:v>
                </c:pt>
                <c:pt idx="1379">
                  <c:v>59.3656005859375</c:v>
                </c:pt>
                <c:pt idx="1380">
                  <c:v>54.54209899902344</c:v>
                </c:pt>
                <c:pt idx="1381">
                  <c:v>71.60449981689453</c:v>
                </c:pt>
                <c:pt idx="1382">
                  <c:v>64.04820251464844</c:v>
                </c:pt>
                <c:pt idx="1383">
                  <c:v>56.595699310302734</c:v>
                </c:pt>
                <c:pt idx="1384">
                  <c:v>62.687801361083984</c:v>
                </c:pt>
                <c:pt idx="1385">
                  <c:v>55.33250045776367</c:v>
                </c:pt>
                <c:pt idx="1386">
                  <c:v>58.298301696777344</c:v>
                </c:pt>
                <c:pt idx="1387">
                  <c:v>58.17100143432617</c:v>
                </c:pt>
                <c:pt idx="1388">
                  <c:v>56.28120040893555</c:v>
                </c:pt>
                <c:pt idx="1389">
                  <c:v>56.1609992980957</c:v>
                </c:pt>
                <c:pt idx="1390">
                  <c:v>55.81949996948242</c:v>
                </c:pt>
                <c:pt idx="1391">
                  <c:v>68.19380187988281</c:v>
                </c:pt>
                <c:pt idx="1392">
                  <c:v>64.002197265625</c:v>
                </c:pt>
                <c:pt idx="1393">
                  <c:v>65.66419982910156</c:v>
                </c:pt>
                <c:pt idx="1394">
                  <c:v>62.32979965209961</c:v>
                </c:pt>
                <c:pt idx="1395">
                  <c:v>64.36299896240234</c:v>
                </c:pt>
                <c:pt idx="1396">
                  <c:v>74.93800354003906</c:v>
                </c:pt>
                <c:pt idx="1397">
                  <c:v>66.76460266113281</c:v>
                </c:pt>
                <c:pt idx="1398">
                  <c:v>67.58270263671875</c:v>
                </c:pt>
                <c:pt idx="1399">
                  <c:v>51.435699462890625</c:v>
                </c:pt>
                <c:pt idx="1400">
                  <c:v>75.30339813232422</c:v>
                </c:pt>
                <c:pt idx="1401">
                  <c:v>66.86949920654297</c:v>
                </c:pt>
                <c:pt idx="1402">
                  <c:v>63.2682991027832</c:v>
                </c:pt>
                <c:pt idx="1403">
                  <c:v>58.750099182128906</c:v>
                </c:pt>
                <c:pt idx="1404">
                  <c:v>52.354801177978516</c:v>
                </c:pt>
                <c:pt idx="1405">
                  <c:v>58.726200103759766</c:v>
                </c:pt>
                <c:pt idx="1406">
                  <c:v>55.46500015258789</c:v>
                </c:pt>
                <c:pt idx="1407">
                  <c:v>62.815399169921875</c:v>
                </c:pt>
                <c:pt idx="1408">
                  <c:v>60.56460189819336</c:v>
                </c:pt>
                <c:pt idx="1409">
                  <c:v>58.17210006713867</c:v>
                </c:pt>
                <c:pt idx="1410">
                  <c:v>59.03990173339844</c:v>
                </c:pt>
                <c:pt idx="1411">
                  <c:v>70.9030990600586</c:v>
                </c:pt>
                <c:pt idx="1412">
                  <c:v>68.15039825439453</c:v>
                </c:pt>
                <c:pt idx="1413">
                  <c:v>76.90390014648438</c:v>
                </c:pt>
                <c:pt idx="1414">
                  <c:v>76.5011978149414</c:v>
                </c:pt>
                <c:pt idx="1415">
                  <c:v>120.75849914550781</c:v>
                </c:pt>
                <c:pt idx="1416">
                  <c:v>96.06400299072266</c:v>
                </c:pt>
                <c:pt idx="1417">
                  <c:v>82.87460327148438</c:v>
                </c:pt>
                <c:pt idx="1418">
                  <c:v>79.29720306396484</c:v>
                </c:pt>
                <c:pt idx="1419">
                  <c:v>60.38520050048828</c:v>
                </c:pt>
                <c:pt idx="1420">
                  <c:v>69.54509735107422</c:v>
                </c:pt>
                <c:pt idx="1421">
                  <c:v>50.568599700927734</c:v>
                </c:pt>
                <c:pt idx="1422">
                  <c:v>54.51219940185547</c:v>
                </c:pt>
                <c:pt idx="1423">
                  <c:v>61.31769943237305</c:v>
                </c:pt>
                <c:pt idx="1424">
                  <c:v>58.55459976196289</c:v>
                </c:pt>
                <c:pt idx="1425">
                  <c:v>62.25740051269531</c:v>
                </c:pt>
                <c:pt idx="1426">
                  <c:v>55.44770050048828</c:v>
                </c:pt>
                <c:pt idx="1427">
                  <c:v>62.290199279785156</c:v>
                </c:pt>
                <c:pt idx="1428">
                  <c:v>63.4734992980957</c:v>
                </c:pt>
                <c:pt idx="1429">
                  <c:v>65.22830200195312</c:v>
                </c:pt>
                <c:pt idx="1430">
                  <c:v>53.95069885253906</c:v>
                </c:pt>
                <c:pt idx="1431">
                  <c:v>60.53889846801758</c:v>
                </c:pt>
                <c:pt idx="1432">
                  <c:v>57.002899169921875</c:v>
                </c:pt>
                <c:pt idx="1433">
                  <c:v>62.32889938354492</c:v>
                </c:pt>
                <c:pt idx="1434">
                  <c:v>60.038700103759766</c:v>
                </c:pt>
                <c:pt idx="1435">
                  <c:v>60.653499603271484</c:v>
                </c:pt>
                <c:pt idx="1436">
                  <c:v>60.230098724365234</c:v>
                </c:pt>
                <c:pt idx="1437">
                  <c:v>59.97100067138672</c:v>
                </c:pt>
                <c:pt idx="1438">
                  <c:v>65.10220336914062</c:v>
                </c:pt>
                <c:pt idx="1439">
                  <c:v>64.76679992675781</c:v>
                </c:pt>
                <c:pt idx="1440">
                  <c:v>63.65879821777344</c:v>
                </c:pt>
                <c:pt idx="1441">
                  <c:v>61.86000061035156</c:v>
                </c:pt>
              </c:numCache>
            </c:numRef>
          </c:val>
          <c:smooth val="0"/>
        </c:ser>
        <c:axId val="23895494"/>
        <c:axId val="13732855"/>
      </c:lineChart>
      <c:catAx>
        <c:axId val="23895494"/>
        <c:scaling>
          <c:orientation val="minMax"/>
          <c:max val="37601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732855"/>
        <c:crosses val="autoZero"/>
        <c:auto val="1"/>
        <c:lblOffset val="100"/>
        <c:tickLblSkip val="61"/>
        <c:tickMarkSkip val="61"/>
        <c:noMultiLvlLbl val="0"/>
      </c:catAx>
      <c:valAx>
        <c:axId val="13732855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/>
                  <a:t>Fr. je MWh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3895494"/>
        <c:crossesAt val="1"/>
        <c:crossBetween val="between"/>
        <c:dispUnits/>
        <c:majorUnit val="50"/>
        <c:minorUnit val="5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ROHOEL BRENT, PREIS IN US$ JE FASS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945"/>
          <c:w val="0.95325"/>
          <c:h val="0.9055"/>
        </c:manualLayout>
      </c:layout>
      <c:lineChart>
        <c:grouping val="standard"/>
        <c:varyColors val="0"/>
        <c:ser>
          <c:idx val="0"/>
          <c:order val="0"/>
          <c:tx>
            <c:v>Rohöl Brent Spot Preis Fass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ErdölStrom!$B$8:$B$398</c:f>
              <c:numCache>
                <c:ptCount val="391"/>
                <c:pt idx="0">
                  <c:v>71.99999999999997</c:v>
                </c:pt>
                <c:pt idx="1">
                  <c:v>72.0833333333333</c:v>
                </c:pt>
                <c:pt idx="2">
                  <c:v>72.16666666666663</c:v>
                </c:pt>
                <c:pt idx="3">
                  <c:v>72.24999999999996</c:v>
                </c:pt>
                <c:pt idx="4">
                  <c:v>72.33333333333329</c:v>
                </c:pt>
                <c:pt idx="5">
                  <c:v>72.41666666666661</c:v>
                </c:pt>
                <c:pt idx="6">
                  <c:v>72.49999999999994</c:v>
                </c:pt>
                <c:pt idx="7">
                  <c:v>72.58333333333327</c:v>
                </c:pt>
                <c:pt idx="8">
                  <c:v>72.6666666666666</c:v>
                </c:pt>
                <c:pt idx="9">
                  <c:v>72.74999999999993</c:v>
                </c:pt>
                <c:pt idx="10">
                  <c:v>72.83333333333326</c:v>
                </c:pt>
                <c:pt idx="11">
                  <c:v>72.91666666666659</c:v>
                </c:pt>
                <c:pt idx="12">
                  <c:v>72.99999999999991</c:v>
                </c:pt>
                <c:pt idx="13">
                  <c:v>73.08333333333324</c:v>
                </c:pt>
                <c:pt idx="14">
                  <c:v>73.16666666666657</c:v>
                </c:pt>
                <c:pt idx="15">
                  <c:v>73.2499999999999</c:v>
                </c:pt>
                <c:pt idx="16">
                  <c:v>73.33333333333323</c:v>
                </c:pt>
                <c:pt idx="17">
                  <c:v>73.41666666666656</c:v>
                </c:pt>
                <c:pt idx="18">
                  <c:v>73.49999999999989</c:v>
                </c:pt>
                <c:pt idx="19">
                  <c:v>73.58333333333321</c:v>
                </c:pt>
                <c:pt idx="20">
                  <c:v>73.66666666666654</c:v>
                </c:pt>
                <c:pt idx="21">
                  <c:v>73.74999999999987</c:v>
                </c:pt>
                <c:pt idx="22">
                  <c:v>73.8333333333332</c:v>
                </c:pt>
                <c:pt idx="23">
                  <c:v>73.91666666666653</c:v>
                </c:pt>
                <c:pt idx="24">
                  <c:v>73.99999999999986</c:v>
                </c:pt>
                <c:pt idx="25">
                  <c:v>74.08333333333319</c:v>
                </c:pt>
                <c:pt idx="26">
                  <c:v>74.16666666666652</c:v>
                </c:pt>
                <c:pt idx="27">
                  <c:v>74.24999999999984</c:v>
                </c:pt>
                <c:pt idx="28">
                  <c:v>74.33333333333317</c:v>
                </c:pt>
                <c:pt idx="29">
                  <c:v>74.4166666666665</c:v>
                </c:pt>
                <c:pt idx="30">
                  <c:v>74.49999999999983</c:v>
                </c:pt>
                <c:pt idx="31">
                  <c:v>74.58333333333316</c:v>
                </c:pt>
                <c:pt idx="32">
                  <c:v>74.66666666666649</c:v>
                </c:pt>
                <c:pt idx="33">
                  <c:v>74.74999999999982</c:v>
                </c:pt>
                <c:pt idx="34">
                  <c:v>74.83333333333314</c:v>
                </c:pt>
                <c:pt idx="35">
                  <c:v>74.91666666666647</c:v>
                </c:pt>
                <c:pt idx="36">
                  <c:v>74.9999999999998</c:v>
                </c:pt>
                <c:pt idx="37">
                  <c:v>75.08333333333313</c:v>
                </c:pt>
                <c:pt idx="38">
                  <c:v>75.16666666666646</c:v>
                </c:pt>
                <c:pt idx="39">
                  <c:v>75.24999999999979</c:v>
                </c:pt>
                <c:pt idx="40">
                  <c:v>75.33333333333312</c:v>
                </c:pt>
                <c:pt idx="41">
                  <c:v>75.41666666666644</c:v>
                </c:pt>
                <c:pt idx="42">
                  <c:v>75.49999999999977</c:v>
                </c:pt>
                <c:pt idx="43">
                  <c:v>75.5833333333331</c:v>
                </c:pt>
                <c:pt idx="44">
                  <c:v>75.66666666666643</c:v>
                </c:pt>
                <c:pt idx="45">
                  <c:v>75.74999999999976</c:v>
                </c:pt>
                <c:pt idx="46">
                  <c:v>75.83333333333309</c:v>
                </c:pt>
                <c:pt idx="47">
                  <c:v>75.91666666666642</c:v>
                </c:pt>
                <c:pt idx="48">
                  <c:v>75.99999999999974</c:v>
                </c:pt>
                <c:pt idx="49">
                  <c:v>76.08333333333307</c:v>
                </c:pt>
                <c:pt idx="50">
                  <c:v>76.1666666666664</c:v>
                </c:pt>
                <c:pt idx="51">
                  <c:v>76.24999999999973</c:v>
                </c:pt>
                <c:pt idx="52">
                  <c:v>76.33333333333306</c:v>
                </c:pt>
                <c:pt idx="53">
                  <c:v>76.41666666666639</c:v>
                </c:pt>
                <c:pt idx="54">
                  <c:v>76.49999999999972</c:v>
                </c:pt>
                <c:pt idx="55">
                  <c:v>76.58333333333304</c:v>
                </c:pt>
                <c:pt idx="56">
                  <c:v>76.66666666666637</c:v>
                </c:pt>
                <c:pt idx="57">
                  <c:v>76.7499999999997</c:v>
                </c:pt>
                <c:pt idx="58">
                  <c:v>76.83333333333303</c:v>
                </c:pt>
                <c:pt idx="59">
                  <c:v>76.91666666666636</c:v>
                </c:pt>
                <c:pt idx="60">
                  <c:v>76.99999999999969</c:v>
                </c:pt>
                <c:pt idx="61">
                  <c:v>77.08333333333302</c:v>
                </c:pt>
                <c:pt idx="62">
                  <c:v>77.16666666666634</c:v>
                </c:pt>
                <c:pt idx="63">
                  <c:v>77.24999999999967</c:v>
                </c:pt>
                <c:pt idx="64">
                  <c:v>77.333333333333</c:v>
                </c:pt>
                <c:pt idx="65">
                  <c:v>77.41666666666633</c:v>
                </c:pt>
                <c:pt idx="66">
                  <c:v>77.49999999999966</c:v>
                </c:pt>
                <c:pt idx="67">
                  <c:v>77.58333333333299</c:v>
                </c:pt>
                <c:pt idx="68">
                  <c:v>77.66666666666632</c:v>
                </c:pt>
                <c:pt idx="69">
                  <c:v>77.74999999999964</c:v>
                </c:pt>
                <c:pt idx="70">
                  <c:v>77.83333333333297</c:v>
                </c:pt>
                <c:pt idx="71">
                  <c:v>77.9166666666663</c:v>
                </c:pt>
                <c:pt idx="72">
                  <c:v>77.99999999999963</c:v>
                </c:pt>
                <c:pt idx="73">
                  <c:v>78.08333333333296</c:v>
                </c:pt>
                <c:pt idx="74">
                  <c:v>78.16666666666629</c:v>
                </c:pt>
                <c:pt idx="75">
                  <c:v>78.24999999999962</c:v>
                </c:pt>
                <c:pt idx="76">
                  <c:v>78.33333333333294</c:v>
                </c:pt>
                <c:pt idx="77">
                  <c:v>78.41666666666627</c:v>
                </c:pt>
                <c:pt idx="78">
                  <c:v>78.4999999999996</c:v>
                </c:pt>
                <c:pt idx="79">
                  <c:v>78.58333333333293</c:v>
                </c:pt>
                <c:pt idx="80">
                  <c:v>78.66666666666626</c:v>
                </c:pt>
                <c:pt idx="81">
                  <c:v>78.74999999999959</c:v>
                </c:pt>
                <c:pt idx="82">
                  <c:v>78.83333333333292</c:v>
                </c:pt>
                <c:pt idx="83">
                  <c:v>78.91666666666625</c:v>
                </c:pt>
                <c:pt idx="84">
                  <c:v>78.99999999999957</c:v>
                </c:pt>
                <c:pt idx="85">
                  <c:v>79.0833333333329</c:v>
                </c:pt>
                <c:pt idx="86">
                  <c:v>79.16666666666623</c:v>
                </c:pt>
                <c:pt idx="87">
                  <c:v>79.24999999999956</c:v>
                </c:pt>
                <c:pt idx="88">
                  <c:v>79.33333333333289</c:v>
                </c:pt>
                <c:pt idx="89">
                  <c:v>79.41666666666622</c:v>
                </c:pt>
                <c:pt idx="90">
                  <c:v>79.49999999999955</c:v>
                </c:pt>
                <c:pt idx="91">
                  <c:v>79.58333333333287</c:v>
                </c:pt>
                <c:pt idx="92">
                  <c:v>79.6666666666662</c:v>
                </c:pt>
                <c:pt idx="93">
                  <c:v>79.74999999999953</c:v>
                </c:pt>
                <c:pt idx="94">
                  <c:v>79.83333333333286</c:v>
                </c:pt>
                <c:pt idx="95">
                  <c:v>79.91666666666619</c:v>
                </c:pt>
                <c:pt idx="96">
                  <c:v>79.99999999999952</c:v>
                </c:pt>
                <c:pt idx="97">
                  <c:v>80.08333333333285</c:v>
                </c:pt>
                <c:pt idx="98">
                  <c:v>80.16666666666617</c:v>
                </c:pt>
                <c:pt idx="99">
                  <c:v>80.2499999999995</c:v>
                </c:pt>
                <c:pt idx="100">
                  <c:v>80.33333333333283</c:v>
                </c:pt>
                <c:pt idx="101">
                  <c:v>80.41666666666616</c:v>
                </c:pt>
                <c:pt idx="102">
                  <c:v>80.49999999999949</c:v>
                </c:pt>
                <c:pt idx="103">
                  <c:v>80.58333333333282</c:v>
                </c:pt>
                <c:pt idx="104">
                  <c:v>80.66666666666615</c:v>
                </c:pt>
                <c:pt idx="105">
                  <c:v>80.74999999999947</c:v>
                </c:pt>
                <c:pt idx="106">
                  <c:v>80.8333333333328</c:v>
                </c:pt>
                <c:pt idx="107">
                  <c:v>80.91666666666613</c:v>
                </c:pt>
                <c:pt idx="108">
                  <c:v>80.99999999999946</c:v>
                </c:pt>
                <c:pt idx="109">
                  <c:v>81.08333333333279</c:v>
                </c:pt>
                <c:pt idx="110">
                  <c:v>81.16666666666612</c:v>
                </c:pt>
                <c:pt idx="111">
                  <c:v>81.24999999999945</c:v>
                </c:pt>
                <c:pt idx="112">
                  <c:v>81.33333333333277</c:v>
                </c:pt>
                <c:pt idx="113">
                  <c:v>81.4166666666661</c:v>
                </c:pt>
                <c:pt idx="114">
                  <c:v>81.49999999999943</c:v>
                </c:pt>
                <c:pt idx="115">
                  <c:v>81.58333333333276</c:v>
                </c:pt>
                <c:pt idx="116">
                  <c:v>81.66666666666609</c:v>
                </c:pt>
                <c:pt idx="117">
                  <c:v>81.74999999999942</c:v>
                </c:pt>
                <c:pt idx="118">
                  <c:v>81.83333333333275</c:v>
                </c:pt>
                <c:pt idx="119">
                  <c:v>81.91666666666607</c:v>
                </c:pt>
                <c:pt idx="120">
                  <c:v>81.9999999999994</c:v>
                </c:pt>
                <c:pt idx="121">
                  <c:v>82.08333333333273</c:v>
                </c:pt>
                <c:pt idx="122">
                  <c:v>82.16666666666606</c:v>
                </c:pt>
                <c:pt idx="123">
                  <c:v>82.24999999999939</c:v>
                </c:pt>
                <c:pt idx="124">
                  <c:v>82.33333333333272</c:v>
                </c:pt>
                <c:pt idx="125">
                  <c:v>82.41666666666605</c:v>
                </c:pt>
                <c:pt idx="126">
                  <c:v>82.49999999999937</c:v>
                </c:pt>
                <c:pt idx="127">
                  <c:v>82.5833333333327</c:v>
                </c:pt>
                <c:pt idx="128">
                  <c:v>82.66666666666603</c:v>
                </c:pt>
                <c:pt idx="129">
                  <c:v>82.74999999999936</c:v>
                </c:pt>
                <c:pt idx="130">
                  <c:v>82.83333333333269</c:v>
                </c:pt>
                <c:pt idx="131">
                  <c:v>82.91666666666602</c:v>
                </c:pt>
                <c:pt idx="132">
                  <c:v>82.99999999999935</c:v>
                </c:pt>
                <c:pt idx="133">
                  <c:v>83.08333333333267</c:v>
                </c:pt>
                <c:pt idx="134">
                  <c:v>83.166666666666</c:v>
                </c:pt>
                <c:pt idx="135">
                  <c:v>83.24999999999933</c:v>
                </c:pt>
                <c:pt idx="136">
                  <c:v>83.33333333333266</c:v>
                </c:pt>
                <c:pt idx="137">
                  <c:v>83.41666666666599</c:v>
                </c:pt>
                <c:pt idx="138">
                  <c:v>83.49999999999932</c:v>
                </c:pt>
                <c:pt idx="139">
                  <c:v>83.58333333333265</c:v>
                </c:pt>
                <c:pt idx="140">
                  <c:v>83.66666666666598</c:v>
                </c:pt>
                <c:pt idx="141">
                  <c:v>83.7499999999993</c:v>
                </c:pt>
                <c:pt idx="142">
                  <c:v>83.83333333333263</c:v>
                </c:pt>
                <c:pt idx="143">
                  <c:v>83.91666666666596</c:v>
                </c:pt>
                <c:pt idx="144">
                  <c:v>83.99999999999929</c:v>
                </c:pt>
                <c:pt idx="145">
                  <c:v>84.08333333333262</c:v>
                </c:pt>
                <c:pt idx="146">
                  <c:v>84.16666666666595</c:v>
                </c:pt>
                <c:pt idx="147">
                  <c:v>84.24999999999928</c:v>
                </c:pt>
                <c:pt idx="148">
                  <c:v>84.3333333333326</c:v>
                </c:pt>
                <c:pt idx="149">
                  <c:v>84.41666666666593</c:v>
                </c:pt>
                <c:pt idx="150">
                  <c:v>84.49999999999926</c:v>
                </c:pt>
                <c:pt idx="151">
                  <c:v>84.58333333333259</c:v>
                </c:pt>
                <c:pt idx="152">
                  <c:v>84.66666666666592</c:v>
                </c:pt>
                <c:pt idx="153">
                  <c:v>84.74999999999925</c:v>
                </c:pt>
                <c:pt idx="154">
                  <c:v>84.83333333333258</c:v>
                </c:pt>
                <c:pt idx="155">
                  <c:v>84.9166666666659</c:v>
                </c:pt>
                <c:pt idx="156">
                  <c:v>84.99999999999923</c:v>
                </c:pt>
                <c:pt idx="157">
                  <c:v>85.08333333333256</c:v>
                </c:pt>
                <c:pt idx="158">
                  <c:v>85.16666666666589</c:v>
                </c:pt>
                <c:pt idx="159">
                  <c:v>85.24999999999922</c:v>
                </c:pt>
                <c:pt idx="160">
                  <c:v>85.33333333333255</c:v>
                </c:pt>
                <c:pt idx="161">
                  <c:v>85.41666666666588</c:v>
                </c:pt>
                <c:pt idx="162">
                  <c:v>85.4999999999992</c:v>
                </c:pt>
                <c:pt idx="163">
                  <c:v>85.58333333333253</c:v>
                </c:pt>
                <c:pt idx="164">
                  <c:v>85.66666666666586</c:v>
                </c:pt>
                <c:pt idx="165">
                  <c:v>85.74999999999919</c:v>
                </c:pt>
                <c:pt idx="166">
                  <c:v>85.83333333333252</c:v>
                </c:pt>
                <c:pt idx="167">
                  <c:v>85.91666666666585</c:v>
                </c:pt>
                <c:pt idx="168">
                  <c:v>85.99999999999918</c:v>
                </c:pt>
                <c:pt idx="169">
                  <c:v>86.0833333333325</c:v>
                </c:pt>
                <c:pt idx="170">
                  <c:v>86.16666666666583</c:v>
                </c:pt>
                <c:pt idx="171">
                  <c:v>86.24999999999916</c:v>
                </c:pt>
                <c:pt idx="172">
                  <c:v>86.33333333333249</c:v>
                </c:pt>
                <c:pt idx="173">
                  <c:v>86.41666666666582</c:v>
                </c:pt>
                <c:pt idx="174">
                  <c:v>86.49999999999915</c:v>
                </c:pt>
                <c:pt idx="175">
                  <c:v>86.58333333333248</c:v>
                </c:pt>
                <c:pt idx="176">
                  <c:v>86.6666666666658</c:v>
                </c:pt>
                <c:pt idx="177">
                  <c:v>86.74999999999913</c:v>
                </c:pt>
                <c:pt idx="178">
                  <c:v>86.83333333333246</c:v>
                </c:pt>
                <c:pt idx="179">
                  <c:v>86.91666666666579</c:v>
                </c:pt>
                <c:pt idx="180">
                  <c:v>86.99999999999912</c:v>
                </c:pt>
                <c:pt idx="181">
                  <c:v>87.08333333333245</c:v>
                </c:pt>
                <c:pt idx="182">
                  <c:v>87.16666666666578</c:v>
                </c:pt>
                <c:pt idx="183">
                  <c:v>87.2499999999991</c:v>
                </c:pt>
                <c:pt idx="184">
                  <c:v>87.33333333333243</c:v>
                </c:pt>
                <c:pt idx="185">
                  <c:v>87.41666666666576</c:v>
                </c:pt>
                <c:pt idx="186">
                  <c:v>87.49999999999909</c:v>
                </c:pt>
                <c:pt idx="187">
                  <c:v>87.58333333333242</c:v>
                </c:pt>
                <c:pt idx="188">
                  <c:v>87.66666666666575</c:v>
                </c:pt>
                <c:pt idx="189">
                  <c:v>87.74999999999908</c:v>
                </c:pt>
                <c:pt idx="190">
                  <c:v>87.8333333333324</c:v>
                </c:pt>
                <c:pt idx="191">
                  <c:v>87.91666666666573</c:v>
                </c:pt>
                <c:pt idx="192">
                  <c:v>87.99999999999906</c:v>
                </c:pt>
                <c:pt idx="193">
                  <c:v>88.08333333333239</c:v>
                </c:pt>
                <c:pt idx="194">
                  <c:v>88.16666666666572</c:v>
                </c:pt>
                <c:pt idx="195">
                  <c:v>88.24999999999905</c:v>
                </c:pt>
                <c:pt idx="196">
                  <c:v>88.33333333333238</c:v>
                </c:pt>
                <c:pt idx="197">
                  <c:v>88.4166666666657</c:v>
                </c:pt>
                <c:pt idx="198">
                  <c:v>88.49999999999903</c:v>
                </c:pt>
                <c:pt idx="199">
                  <c:v>88.58333333333236</c:v>
                </c:pt>
                <c:pt idx="200">
                  <c:v>88.66666666666569</c:v>
                </c:pt>
                <c:pt idx="201">
                  <c:v>88.74999999999902</c:v>
                </c:pt>
                <c:pt idx="202">
                  <c:v>88.83333333333235</c:v>
                </c:pt>
                <c:pt idx="203">
                  <c:v>88.91666666666568</c:v>
                </c:pt>
                <c:pt idx="204">
                  <c:v>88.999999999999</c:v>
                </c:pt>
                <c:pt idx="205">
                  <c:v>89.08333333333233</c:v>
                </c:pt>
                <c:pt idx="206">
                  <c:v>89.16666666666566</c:v>
                </c:pt>
                <c:pt idx="207">
                  <c:v>89.24999999999899</c:v>
                </c:pt>
                <c:pt idx="208">
                  <c:v>89.33333333333232</c:v>
                </c:pt>
                <c:pt idx="209">
                  <c:v>89.41666666666565</c:v>
                </c:pt>
                <c:pt idx="210">
                  <c:v>89.49999999999898</c:v>
                </c:pt>
                <c:pt idx="211">
                  <c:v>89.5833333333323</c:v>
                </c:pt>
                <c:pt idx="212">
                  <c:v>89.66666666666563</c:v>
                </c:pt>
                <c:pt idx="213">
                  <c:v>89.74999999999896</c:v>
                </c:pt>
                <c:pt idx="214">
                  <c:v>89.83333333333229</c:v>
                </c:pt>
                <c:pt idx="215">
                  <c:v>89.91666666666562</c:v>
                </c:pt>
                <c:pt idx="216">
                  <c:v>89.99999999999895</c:v>
                </c:pt>
                <c:pt idx="217">
                  <c:v>90.08333333333228</c:v>
                </c:pt>
                <c:pt idx="218">
                  <c:v>90.1666666666656</c:v>
                </c:pt>
                <c:pt idx="219">
                  <c:v>90.24999999999893</c:v>
                </c:pt>
                <c:pt idx="220">
                  <c:v>90.33333333333226</c:v>
                </c:pt>
                <c:pt idx="221">
                  <c:v>90.41666666666559</c:v>
                </c:pt>
                <c:pt idx="222">
                  <c:v>90.49999999999892</c:v>
                </c:pt>
                <c:pt idx="223">
                  <c:v>90.58333333333225</c:v>
                </c:pt>
                <c:pt idx="224">
                  <c:v>90.66666666666558</c:v>
                </c:pt>
                <c:pt idx="225">
                  <c:v>90.7499999999989</c:v>
                </c:pt>
                <c:pt idx="226">
                  <c:v>90.83333333333223</c:v>
                </c:pt>
                <c:pt idx="227">
                  <c:v>90.91666666666556</c:v>
                </c:pt>
                <c:pt idx="228">
                  <c:v>90.99999999999889</c:v>
                </c:pt>
                <c:pt idx="229">
                  <c:v>91.08333333333222</c:v>
                </c:pt>
                <c:pt idx="230">
                  <c:v>91.16666666666555</c:v>
                </c:pt>
                <c:pt idx="231">
                  <c:v>91.24999999999888</c:v>
                </c:pt>
                <c:pt idx="232">
                  <c:v>91.3333333333322</c:v>
                </c:pt>
                <c:pt idx="233">
                  <c:v>91.41666666666553</c:v>
                </c:pt>
                <c:pt idx="234">
                  <c:v>91.49999999999886</c:v>
                </c:pt>
                <c:pt idx="235">
                  <c:v>91.58333333333219</c:v>
                </c:pt>
                <c:pt idx="236">
                  <c:v>91.66666666666552</c:v>
                </c:pt>
                <c:pt idx="237">
                  <c:v>91.74999999999885</c:v>
                </c:pt>
                <c:pt idx="238">
                  <c:v>91.83333333333218</c:v>
                </c:pt>
                <c:pt idx="239">
                  <c:v>91.9166666666655</c:v>
                </c:pt>
                <c:pt idx="240">
                  <c:v>91.99999999999883</c:v>
                </c:pt>
                <c:pt idx="241">
                  <c:v>92.08333333333216</c:v>
                </c:pt>
                <c:pt idx="242">
                  <c:v>92.16666666666549</c:v>
                </c:pt>
                <c:pt idx="243">
                  <c:v>92.24999999999882</c:v>
                </c:pt>
                <c:pt idx="244">
                  <c:v>92.33333333333215</c:v>
                </c:pt>
                <c:pt idx="245">
                  <c:v>92.41666666666548</c:v>
                </c:pt>
                <c:pt idx="246">
                  <c:v>92.4999999999988</c:v>
                </c:pt>
                <c:pt idx="247">
                  <c:v>92.58333333333213</c:v>
                </c:pt>
                <c:pt idx="248">
                  <c:v>92.66666666666546</c:v>
                </c:pt>
                <c:pt idx="249">
                  <c:v>92.74999999999879</c:v>
                </c:pt>
                <c:pt idx="250">
                  <c:v>92.83333333333212</c:v>
                </c:pt>
                <c:pt idx="251">
                  <c:v>92.91666666666545</c:v>
                </c:pt>
                <c:pt idx="252">
                  <c:v>92.99999999999878</c:v>
                </c:pt>
                <c:pt idx="253">
                  <c:v>93.0833333333321</c:v>
                </c:pt>
                <c:pt idx="254">
                  <c:v>93.16666666666544</c:v>
                </c:pt>
                <c:pt idx="255">
                  <c:v>93.24999999999876</c:v>
                </c:pt>
                <c:pt idx="256">
                  <c:v>93.33333333333209</c:v>
                </c:pt>
                <c:pt idx="257">
                  <c:v>93.41666666666542</c:v>
                </c:pt>
                <c:pt idx="258">
                  <c:v>93.49999999999875</c:v>
                </c:pt>
                <c:pt idx="259">
                  <c:v>93.58333333333208</c:v>
                </c:pt>
                <c:pt idx="260">
                  <c:v>93.6666666666654</c:v>
                </c:pt>
                <c:pt idx="261">
                  <c:v>93.74999999999874</c:v>
                </c:pt>
                <c:pt idx="262">
                  <c:v>93.83333333333206</c:v>
                </c:pt>
                <c:pt idx="263">
                  <c:v>93.91666666666539</c:v>
                </c:pt>
                <c:pt idx="264">
                  <c:v>93.99999999999872</c:v>
                </c:pt>
                <c:pt idx="265">
                  <c:v>94.08333333333205</c:v>
                </c:pt>
                <c:pt idx="266">
                  <c:v>94.16666666666538</c:v>
                </c:pt>
                <c:pt idx="267">
                  <c:v>94.2499999999987</c:v>
                </c:pt>
                <c:pt idx="268">
                  <c:v>94.33333333333204</c:v>
                </c:pt>
                <c:pt idx="269">
                  <c:v>94.41666666666536</c:v>
                </c:pt>
                <c:pt idx="270">
                  <c:v>94.49999999999869</c:v>
                </c:pt>
                <c:pt idx="271">
                  <c:v>94.58333333333202</c:v>
                </c:pt>
                <c:pt idx="272">
                  <c:v>94.66666666666535</c:v>
                </c:pt>
                <c:pt idx="273">
                  <c:v>94.74999999999868</c:v>
                </c:pt>
                <c:pt idx="274">
                  <c:v>94.833333333332</c:v>
                </c:pt>
                <c:pt idx="275">
                  <c:v>94.91666666666534</c:v>
                </c:pt>
                <c:pt idx="276">
                  <c:v>94.99999999999866</c:v>
                </c:pt>
                <c:pt idx="277">
                  <c:v>95.08333333333199</c:v>
                </c:pt>
                <c:pt idx="278">
                  <c:v>95.16666666666532</c:v>
                </c:pt>
                <c:pt idx="279">
                  <c:v>95.24999999999865</c:v>
                </c:pt>
                <c:pt idx="280">
                  <c:v>95.33333333333198</c:v>
                </c:pt>
                <c:pt idx="281">
                  <c:v>95.41666666666531</c:v>
                </c:pt>
                <c:pt idx="282">
                  <c:v>95.49999999999864</c:v>
                </c:pt>
                <c:pt idx="283">
                  <c:v>95.58333333333196</c:v>
                </c:pt>
                <c:pt idx="284">
                  <c:v>95.6666666666653</c:v>
                </c:pt>
                <c:pt idx="285">
                  <c:v>95.74999999999862</c:v>
                </c:pt>
                <c:pt idx="286">
                  <c:v>95.83333333333195</c:v>
                </c:pt>
                <c:pt idx="287">
                  <c:v>95.91666666666528</c:v>
                </c:pt>
                <c:pt idx="288">
                  <c:v>95.99999999999861</c:v>
                </c:pt>
                <c:pt idx="289">
                  <c:v>96.08333333333194</c:v>
                </c:pt>
                <c:pt idx="290">
                  <c:v>96.16666666666526</c:v>
                </c:pt>
                <c:pt idx="291">
                  <c:v>96.2499999999986</c:v>
                </c:pt>
                <c:pt idx="292">
                  <c:v>96.33333333333192</c:v>
                </c:pt>
                <c:pt idx="293">
                  <c:v>96.41666666666525</c:v>
                </c:pt>
                <c:pt idx="294">
                  <c:v>96.49999999999858</c:v>
                </c:pt>
                <c:pt idx="295">
                  <c:v>96.58333333333191</c:v>
                </c:pt>
                <c:pt idx="296">
                  <c:v>96.66666666666524</c:v>
                </c:pt>
                <c:pt idx="297">
                  <c:v>96.74999999999856</c:v>
                </c:pt>
                <c:pt idx="298">
                  <c:v>96.8333333333319</c:v>
                </c:pt>
                <c:pt idx="299">
                  <c:v>96.91666666666522</c:v>
                </c:pt>
                <c:pt idx="300">
                  <c:v>96.99999999999855</c:v>
                </c:pt>
                <c:pt idx="301">
                  <c:v>97.08333333333188</c:v>
                </c:pt>
                <c:pt idx="302">
                  <c:v>97.16666666666521</c:v>
                </c:pt>
                <c:pt idx="303">
                  <c:v>97.24999999999854</c:v>
                </c:pt>
                <c:pt idx="304">
                  <c:v>97.33333333333186</c:v>
                </c:pt>
                <c:pt idx="305">
                  <c:v>97.4166666666652</c:v>
                </c:pt>
                <c:pt idx="306">
                  <c:v>97.49999999999852</c:v>
                </c:pt>
                <c:pt idx="307">
                  <c:v>97.58333333333185</c:v>
                </c:pt>
                <c:pt idx="308">
                  <c:v>97.66666666666518</c:v>
                </c:pt>
                <c:pt idx="309">
                  <c:v>97.74999999999851</c:v>
                </c:pt>
                <c:pt idx="310">
                  <c:v>97.83333333333184</c:v>
                </c:pt>
                <c:pt idx="311">
                  <c:v>97.91666666666517</c:v>
                </c:pt>
                <c:pt idx="312">
                  <c:v>97.9999999999985</c:v>
                </c:pt>
                <c:pt idx="313">
                  <c:v>98.08333333333182</c:v>
                </c:pt>
                <c:pt idx="314">
                  <c:v>98.16666666666515</c:v>
                </c:pt>
                <c:pt idx="315">
                  <c:v>98.24999999999848</c:v>
                </c:pt>
                <c:pt idx="316">
                  <c:v>98.33333333333181</c:v>
                </c:pt>
                <c:pt idx="317">
                  <c:v>98.41666666666514</c:v>
                </c:pt>
                <c:pt idx="318">
                  <c:v>98.49999999999847</c:v>
                </c:pt>
                <c:pt idx="319">
                  <c:v>98.5833333333318</c:v>
                </c:pt>
                <c:pt idx="320">
                  <c:v>98.66666666666512</c:v>
                </c:pt>
                <c:pt idx="321">
                  <c:v>98.74999999999845</c:v>
                </c:pt>
                <c:pt idx="322">
                  <c:v>98.83333333333178</c:v>
                </c:pt>
                <c:pt idx="323">
                  <c:v>98.91666666666511</c:v>
                </c:pt>
                <c:pt idx="324">
                  <c:v>98.99999999999844</c:v>
                </c:pt>
                <c:pt idx="325">
                  <c:v>99.08333333333177</c:v>
                </c:pt>
                <c:pt idx="326">
                  <c:v>99.1666666666651</c:v>
                </c:pt>
                <c:pt idx="327">
                  <c:v>99.24999999999842</c:v>
                </c:pt>
                <c:pt idx="328">
                  <c:v>99.33333333333175</c:v>
                </c:pt>
                <c:pt idx="329">
                  <c:v>99.41666666666508</c:v>
                </c:pt>
                <c:pt idx="330">
                  <c:v>99.49999999999841</c:v>
                </c:pt>
                <c:pt idx="331">
                  <c:v>0</c:v>
                </c:pt>
                <c:pt idx="332">
                  <c:v>0.08333333333333333</c:v>
                </c:pt>
                <c:pt idx="333">
                  <c:v>0.16666666666666666</c:v>
                </c:pt>
                <c:pt idx="334">
                  <c:v>0.25</c:v>
                </c:pt>
                <c:pt idx="335">
                  <c:v>0.3333333333333333</c:v>
                </c:pt>
                <c:pt idx="336">
                  <c:v>0.41666666666666663</c:v>
                </c:pt>
                <c:pt idx="337">
                  <c:v>0.49999999999999994</c:v>
                </c:pt>
                <c:pt idx="338">
                  <c:v>0.5833333333333333</c:v>
                </c:pt>
                <c:pt idx="339">
                  <c:v>0.6666666666666666</c:v>
                </c:pt>
                <c:pt idx="340">
                  <c:v>0.75</c:v>
                </c:pt>
                <c:pt idx="341">
                  <c:v>0.8333333333333334</c:v>
                </c:pt>
                <c:pt idx="342">
                  <c:v>0.9166666666666667</c:v>
                </c:pt>
                <c:pt idx="343">
                  <c:v>1</c:v>
                </c:pt>
                <c:pt idx="344">
                  <c:v>1.0833333333333333</c:v>
                </c:pt>
                <c:pt idx="345">
                  <c:v>1.1666666666666665</c:v>
                </c:pt>
                <c:pt idx="346">
                  <c:v>1.2499999999999998</c:v>
                </c:pt>
                <c:pt idx="347">
                  <c:v>1.333333333333333</c:v>
                </c:pt>
                <c:pt idx="348">
                  <c:v>1.4166666666666663</c:v>
                </c:pt>
                <c:pt idx="349">
                  <c:v>1.4999999999999996</c:v>
                </c:pt>
                <c:pt idx="350">
                  <c:v>1.5833333333333328</c:v>
                </c:pt>
                <c:pt idx="351">
                  <c:v>1.666666666666666</c:v>
                </c:pt>
                <c:pt idx="352">
                  <c:v>1.7499999999999993</c:v>
                </c:pt>
                <c:pt idx="353">
                  <c:v>1.8333333333333326</c:v>
                </c:pt>
                <c:pt idx="354">
                  <c:v>1.9166666666666659</c:v>
                </c:pt>
                <c:pt idx="355">
                  <c:v>1.9999999999999991</c:v>
                </c:pt>
                <c:pt idx="356">
                  <c:v>2.0833333333333326</c:v>
                </c:pt>
                <c:pt idx="357">
                  <c:v>2.166666666666666</c:v>
                </c:pt>
                <c:pt idx="358">
                  <c:v>2.2499999999999996</c:v>
                </c:pt>
                <c:pt idx="359">
                  <c:v>2.333333333333333</c:v>
                </c:pt>
                <c:pt idx="360">
                  <c:v>2.4166666666666665</c:v>
                </c:pt>
                <c:pt idx="361">
                  <c:v>2.5</c:v>
                </c:pt>
                <c:pt idx="362">
                  <c:v>2.5833333333333335</c:v>
                </c:pt>
                <c:pt idx="363">
                  <c:v>2.666666666666667</c:v>
                </c:pt>
                <c:pt idx="364">
                  <c:v>2.7500000000000004</c:v>
                </c:pt>
                <c:pt idx="365">
                  <c:v>2.833333333333334</c:v>
                </c:pt>
                <c:pt idx="366">
                  <c:v>2.9166666666666674</c:v>
                </c:pt>
                <c:pt idx="367">
                  <c:v>3.000000000000001</c:v>
                </c:pt>
                <c:pt idx="368">
                  <c:v>3.0833333333333344</c:v>
                </c:pt>
                <c:pt idx="369">
                  <c:v>3.166666666666668</c:v>
                </c:pt>
                <c:pt idx="370">
                  <c:v>3.2500000000000013</c:v>
                </c:pt>
                <c:pt idx="371">
                  <c:v>3.333333333333335</c:v>
                </c:pt>
                <c:pt idx="372">
                  <c:v>3.4166666666666683</c:v>
                </c:pt>
                <c:pt idx="373">
                  <c:v>3.5000000000000018</c:v>
                </c:pt>
                <c:pt idx="374">
                  <c:v>3.5833333333333353</c:v>
                </c:pt>
                <c:pt idx="375">
                  <c:v>3.6666666666666687</c:v>
                </c:pt>
                <c:pt idx="376">
                  <c:v>3.750000000000002</c:v>
                </c:pt>
                <c:pt idx="377">
                  <c:v>3.8333333333333357</c:v>
                </c:pt>
                <c:pt idx="378">
                  <c:v>3.916666666666669</c:v>
                </c:pt>
                <c:pt idx="379">
                  <c:v>4.000000000000003</c:v>
                </c:pt>
                <c:pt idx="380">
                  <c:v>4.083333333333336</c:v>
                </c:pt>
                <c:pt idx="381">
                  <c:v>4.166666666666669</c:v>
                </c:pt>
                <c:pt idx="382">
                  <c:v>4.250000000000002</c:v>
                </c:pt>
                <c:pt idx="383">
                  <c:v>4.333333333333335</c:v>
                </c:pt>
                <c:pt idx="384">
                  <c:v>4.416666666666668</c:v>
                </c:pt>
                <c:pt idx="385">
                  <c:v>4.500000000000001</c:v>
                </c:pt>
                <c:pt idx="386">
                  <c:v>4.583333333333334</c:v>
                </c:pt>
                <c:pt idx="387">
                  <c:v>4.666666666666667</c:v>
                </c:pt>
                <c:pt idx="388">
                  <c:v>4.75</c:v>
                </c:pt>
                <c:pt idx="389">
                  <c:v>4.833333333333333</c:v>
                </c:pt>
                <c:pt idx="390">
                  <c:v>4.916666666666666</c:v>
                </c:pt>
              </c:numCache>
            </c:numRef>
          </c:cat>
          <c:val>
            <c:numRef>
              <c:f>ErdölStrom!$C$8:$C$398</c:f>
              <c:numCache>
                <c:ptCount val="391"/>
                <c:pt idx="5">
                  <c:v>3.9</c:v>
                </c:pt>
                <c:pt idx="6">
                  <c:v>4</c:v>
                </c:pt>
                <c:pt idx="7">
                  <c:v>4.1</c:v>
                </c:pt>
                <c:pt idx="8">
                  <c:v>4.2</c:v>
                </c:pt>
                <c:pt idx="9">
                  <c:v>4.5</c:v>
                </c:pt>
                <c:pt idx="10">
                  <c:v>5</c:v>
                </c:pt>
                <c:pt idx="11">
                  <c:v>6</c:v>
                </c:pt>
                <c:pt idx="12">
                  <c:v>11</c:v>
                </c:pt>
                <c:pt idx="13">
                  <c:v>16</c:v>
                </c:pt>
                <c:pt idx="14">
                  <c:v>19</c:v>
                </c:pt>
                <c:pt idx="15">
                  <c:v>14.5</c:v>
                </c:pt>
                <c:pt idx="16">
                  <c:v>14</c:v>
                </c:pt>
                <c:pt idx="17">
                  <c:v>13.5</c:v>
                </c:pt>
                <c:pt idx="18">
                  <c:v>13.3</c:v>
                </c:pt>
                <c:pt idx="19">
                  <c:v>13.0857705977383</c:v>
                </c:pt>
                <c:pt idx="20">
                  <c:v>13.1132617124394</c:v>
                </c:pt>
                <c:pt idx="21">
                  <c:v>13.1544983844911</c:v>
                </c:pt>
                <c:pt idx="22">
                  <c:v>13.2094806138934</c:v>
                </c:pt>
                <c:pt idx="23">
                  <c:v>13.3056995153473</c:v>
                </c:pt>
                <c:pt idx="24">
                  <c:v>13.2782084006462</c:v>
                </c:pt>
                <c:pt idx="25">
                  <c:v>13.4019184168013</c:v>
                </c:pt>
                <c:pt idx="26">
                  <c:v>13.374427302100168</c:v>
                </c:pt>
                <c:pt idx="27">
                  <c:v>13.456900646203561</c:v>
                </c:pt>
                <c:pt idx="28">
                  <c:v>13.525628432956388</c:v>
                </c:pt>
                <c:pt idx="29">
                  <c:v>13.58061066235865</c:v>
                </c:pt>
                <c:pt idx="30">
                  <c:v>13.608101777059781</c:v>
                </c:pt>
                <c:pt idx="31">
                  <c:v>13.649338449111477</c:v>
                </c:pt>
                <c:pt idx="32">
                  <c:v>13.553119547657518</c:v>
                </c:pt>
                <c:pt idx="33">
                  <c:v>13.553119547657518</c:v>
                </c:pt>
                <c:pt idx="34">
                  <c:v>13.48439176090469</c:v>
                </c:pt>
                <c:pt idx="35">
                  <c:v>13.48439176090469</c:v>
                </c:pt>
                <c:pt idx="36">
                  <c:v>13.48439176090469</c:v>
                </c:pt>
                <c:pt idx="37">
                  <c:v>13.42940953150243</c:v>
                </c:pt>
                <c:pt idx="38">
                  <c:v>13.388172859450732</c:v>
                </c:pt>
                <c:pt idx="39">
                  <c:v>13.388172859450732</c:v>
                </c:pt>
                <c:pt idx="40">
                  <c:v>14.529054119547663</c:v>
                </c:pt>
                <c:pt idx="41">
                  <c:v>14.529054119547663</c:v>
                </c:pt>
                <c:pt idx="42">
                  <c:v>14.501563004846531</c:v>
                </c:pt>
                <c:pt idx="43">
                  <c:v>14.542799676898229</c:v>
                </c:pt>
                <c:pt idx="44">
                  <c:v>14.529054119547663</c:v>
                </c:pt>
                <c:pt idx="45">
                  <c:v>14.529054119547663</c:v>
                </c:pt>
                <c:pt idx="46">
                  <c:v>14.542799676898227</c:v>
                </c:pt>
                <c:pt idx="47">
                  <c:v>14.542799676898227</c:v>
                </c:pt>
                <c:pt idx="48">
                  <c:v>14.529054119547661</c:v>
                </c:pt>
                <c:pt idx="49">
                  <c:v>14.584036348949923</c:v>
                </c:pt>
                <c:pt idx="50">
                  <c:v>14.611527463651054</c:v>
                </c:pt>
                <c:pt idx="51">
                  <c:v>14.625273021001622</c:v>
                </c:pt>
                <c:pt idx="52">
                  <c:v>14.694000807754449</c:v>
                </c:pt>
                <c:pt idx="53">
                  <c:v>14.694000807754449</c:v>
                </c:pt>
                <c:pt idx="54">
                  <c:v>14.707746365105013</c:v>
                </c:pt>
                <c:pt idx="55">
                  <c:v>15.642444264943462</c:v>
                </c:pt>
                <c:pt idx="56">
                  <c:v>15.642444264943462</c:v>
                </c:pt>
                <c:pt idx="57">
                  <c:v>15.642444264943462</c:v>
                </c:pt>
                <c:pt idx="58">
                  <c:v>15.656189822294028</c:v>
                </c:pt>
                <c:pt idx="59">
                  <c:v>15.656189822294028</c:v>
                </c:pt>
                <c:pt idx="60">
                  <c:v>15.656189822294028</c:v>
                </c:pt>
                <c:pt idx="61">
                  <c:v>16.109793214862687</c:v>
                </c:pt>
                <c:pt idx="62">
                  <c:v>16.09604765751212</c:v>
                </c:pt>
                <c:pt idx="63">
                  <c:v>16.082302100161556</c:v>
                </c:pt>
                <c:pt idx="64">
                  <c:v>16.12353877221325</c:v>
                </c:pt>
                <c:pt idx="65">
                  <c:v>16.13728432956382</c:v>
                </c:pt>
                <c:pt idx="66">
                  <c:v>16.206012116316646</c:v>
                </c:pt>
                <c:pt idx="67">
                  <c:v>16.178521001615515</c:v>
                </c:pt>
                <c:pt idx="68">
                  <c:v>16.19226655896608</c:v>
                </c:pt>
                <c:pt idx="69">
                  <c:v>16.19226655896608</c:v>
                </c:pt>
                <c:pt idx="70">
                  <c:v>16.151029886914383</c:v>
                </c:pt>
                <c:pt idx="71">
                  <c:v>16.12353877221325</c:v>
                </c:pt>
                <c:pt idx="72">
                  <c:v>16.12353877221325</c:v>
                </c:pt>
                <c:pt idx="73">
                  <c:v>16.12353877221325</c:v>
                </c:pt>
                <c:pt idx="74">
                  <c:v>16.164775444264947</c:v>
                </c:pt>
                <c:pt idx="75">
                  <c:v>16.178521001615515</c:v>
                </c:pt>
                <c:pt idx="76">
                  <c:v>16.260994345718906</c:v>
                </c:pt>
                <c:pt idx="77">
                  <c:v>16.206012116316643</c:v>
                </c:pt>
                <c:pt idx="78">
                  <c:v>16.219757673667207</c:v>
                </c:pt>
                <c:pt idx="79">
                  <c:v>17.017</c:v>
                </c:pt>
                <c:pt idx="80">
                  <c:v>18.664</c:v>
                </c:pt>
                <c:pt idx="81">
                  <c:v>23.394</c:v>
                </c:pt>
                <c:pt idx="82">
                  <c:v>25.937</c:v>
                </c:pt>
                <c:pt idx="83">
                  <c:v>28.48</c:v>
                </c:pt>
                <c:pt idx="84">
                  <c:v>33.565</c:v>
                </c:pt>
                <c:pt idx="85">
                  <c:v>35.091</c:v>
                </c:pt>
                <c:pt idx="86">
                  <c:v>31.531</c:v>
                </c:pt>
                <c:pt idx="87">
                  <c:v>36.108</c:v>
                </c:pt>
                <c:pt idx="88">
                  <c:v>38.651</c:v>
                </c:pt>
                <c:pt idx="89">
                  <c:v>40.177</c:v>
                </c:pt>
                <c:pt idx="90">
                  <c:v>39.668</c:v>
                </c:pt>
                <c:pt idx="91">
                  <c:v>37.125</c:v>
                </c:pt>
                <c:pt idx="92">
                  <c:v>36.108</c:v>
                </c:pt>
                <c:pt idx="93">
                  <c:v>36.108</c:v>
                </c:pt>
                <c:pt idx="94">
                  <c:v>35.6</c:v>
                </c:pt>
                <c:pt idx="95">
                  <c:v>36.108</c:v>
                </c:pt>
                <c:pt idx="96">
                  <c:v>35.6</c:v>
                </c:pt>
                <c:pt idx="97">
                  <c:v>34.837</c:v>
                </c:pt>
                <c:pt idx="98">
                  <c:v>31.531</c:v>
                </c:pt>
                <c:pt idx="99">
                  <c:v>31.938</c:v>
                </c:pt>
                <c:pt idx="100">
                  <c:v>38.448</c:v>
                </c:pt>
                <c:pt idx="101">
                  <c:v>42.211</c:v>
                </c:pt>
                <c:pt idx="102">
                  <c:v>39.922</c:v>
                </c:pt>
                <c:pt idx="103">
                  <c:v>39.16</c:v>
                </c:pt>
                <c:pt idx="104">
                  <c:v>37.634</c:v>
                </c:pt>
                <c:pt idx="105">
                  <c:v>37.125</c:v>
                </c:pt>
                <c:pt idx="106">
                  <c:v>35.345</c:v>
                </c:pt>
                <c:pt idx="107">
                  <c:v>34.074</c:v>
                </c:pt>
                <c:pt idx="108">
                  <c:v>32.04</c:v>
                </c:pt>
                <c:pt idx="109">
                  <c:v>32.446</c:v>
                </c:pt>
                <c:pt idx="110">
                  <c:v>32.446</c:v>
                </c:pt>
                <c:pt idx="111">
                  <c:v>32.701</c:v>
                </c:pt>
                <c:pt idx="112">
                  <c:v>33.565</c:v>
                </c:pt>
                <c:pt idx="113">
                  <c:v>34.786</c:v>
                </c:pt>
                <c:pt idx="114">
                  <c:v>34.735</c:v>
                </c:pt>
                <c:pt idx="115">
                  <c:v>34.643</c:v>
                </c:pt>
                <c:pt idx="116">
                  <c:v>30.626</c:v>
                </c:pt>
                <c:pt idx="117">
                  <c:v>28.948</c:v>
                </c:pt>
                <c:pt idx="118">
                  <c:v>31.175</c:v>
                </c:pt>
                <c:pt idx="119">
                  <c:v>33.982</c:v>
                </c:pt>
                <c:pt idx="120">
                  <c:v>33.443</c:v>
                </c:pt>
                <c:pt idx="121">
                  <c:v>32.294</c:v>
                </c:pt>
                <c:pt idx="122">
                  <c:v>31.785</c:v>
                </c:pt>
                <c:pt idx="123">
                  <c:v>33.606</c:v>
                </c:pt>
                <c:pt idx="124">
                  <c:v>33.992</c:v>
                </c:pt>
                <c:pt idx="125">
                  <c:v>32.355</c:v>
                </c:pt>
                <c:pt idx="126">
                  <c:v>30.605</c:v>
                </c:pt>
                <c:pt idx="127">
                  <c:v>30.961</c:v>
                </c:pt>
                <c:pt idx="128">
                  <c:v>29.649</c:v>
                </c:pt>
                <c:pt idx="129">
                  <c:v>28.48</c:v>
                </c:pt>
                <c:pt idx="130">
                  <c:v>29.232</c:v>
                </c:pt>
                <c:pt idx="131">
                  <c:v>29.039</c:v>
                </c:pt>
                <c:pt idx="132">
                  <c:v>29.293</c:v>
                </c:pt>
                <c:pt idx="133">
                  <c:v>29.456</c:v>
                </c:pt>
                <c:pt idx="134">
                  <c:v>29.446</c:v>
                </c:pt>
                <c:pt idx="135">
                  <c:v>29.161</c:v>
                </c:pt>
                <c:pt idx="136">
                  <c:v>29.07</c:v>
                </c:pt>
                <c:pt idx="137">
                  <c:v>28.744</c:v>
                </c:pt>
                <c:pt idx="138">
                  <c:v>28.775</c:v>
                </c:pt>
                <c:pt idx="139">
                  <c:v>29.12</c:v>
                </c:pt>
                <c:pt idx="140">
                  <c:v>29.009</c:v>
                </c:pt>
                <c:pt idx="141">
                  <c:v>29.019</c:v>
                </c:pt>
                <c:pt idx="142">
                  <c:v>28.907</c:v>
                </c:pt>
                <c:pt idx="143">
                  <c:v>28.856</c:v>
                </c:pt>
                <c:pt idx="144">
                  <c:v>28.592</c:v>
                </c:pt>
                <c:pt idx="145">
                  <c:v>27.951</c:v>
                </c:pt>
                <c:pt idx="146">
                  <c:v>28.205</c:v>
                </c:pt>
                <c:pt idx="147">
                  <c:v>28.366</c:v>
                </c:pt>
                <c:pt idx="148">
                  <c:v>28.135</c:v>
                </c:pt>
                <c:pt idx="149">
                  <c:v>27.723</c:v>
                </c:pt>
                <c:pt idx="150">
                  <c:v>27.076</c:v>
                </c:pt>
                <c:pt idx="151">
                  <c:v>26.945</c:v>
                </c:pt>
                <c:pt idx="152">
                  <c:v>28.179</c:v>
                </c:pt>
                <c:pt idx="153">
                  <c:v>27.968</c:v>
                </c:pt>
                <c:pt idx="154">
                  <c:v>27.826</c:v>
                </c:pt>
                <c:pt idx="155">
                  <c:v>26.688</c:v>
                </c:pt>
                <c:pt idx="156">
                  <c:v>26.5</c:v>
                </c:pt>
                <c:pt idx="157">
                  <c:v>26.6</c:v>
                </c:pt>
                <c:pt idx="158">
                  <c:v>27.2</c:v>
                </c:pt>
                <c:pt idx="159">
                  <c:v>27.2</c:v>
                </c:pt>
                <c:pt idx="160">
                  <c:v>27.9</c:v>
                </c:pt>
                <c:pt idx="161">
                  <c:v>29.1</c:v>
                </c:pt>
                <c:pt idx="162">
                  <c:v>25.9</c:v>
                </c:pt>
                <c:pt idx="163">
                  <c:v>22.5</c:v>
                </c:pt>
                <c:pt idx="164">
                  <c:v>17.6</c:v>
                </c:pt>
                <c:pt idx="165">
                  <c:v>13.9</c:v>
                </c:pt>
                <c:pt idx="166">
                  <c:v>12.5</c:v>
                </c:pt>
                <c:pt idx="167">
                  <c:v>14.2</c:v>
                </c:pt>
                <c:pt idx="168">
                  <c:v>11.9</c:v>
                </c:pt>
                <c:pt idx="169">
                  <c:v>9.5</c:v>
                </c:pt>
                <c:pt idx="170">
                  <c:v>13.7</c:v>
                </c:pt>
                <c:pt idx="171">
                  <c:v>14.2</c:v>
                </c:pt>
                <c:pt idx="172">
                  <c:v>13.8</c:v>
                </c:pt>
                <c:pt idx="173">
                  <c:v>14.6</c:v>
                </c:pt>
                <c:pt idx="174">
                  <c:v>15.9</c:v>
                </c:pt>
                <c:pt idx="175">
                  <c:v>18.4</c:v>
                </c:pt>
                <c:pt idx="176">
                  <c:v>17.3</c:v>
                </c:pt>
                <c:pt idx="177">
                  <c:v>17.9</c:v>
                </c:pt>
                <c:pt idx="178">
                  <c:v>18.1</c:v>
                </c:pt>
                <c:pt idx="179">
                  <c:v>18.8</c:v>
                </c:pt>
                <c:pt idx="180">
                  <c:v>18.9</c:v>
                </c:pt>
                <c:pt idx="181">
                  <c:v>19.8</c:v>
                </c:pt>
                <c:pt idx="182">
                  <c:v>19</c:v>
                </c:pt>
                <c:pt idx="183">
                  <c:v>18.4</c:v>
                </c:pt>
                <c:pt idx="184">
                  <c:v>18.8</c:v>
                </c:pt>
                <c:pt idx="185">
                  <c:v>17.8</c:v>
                </c:pt>
                <c:pt idx="186">
                  <c:v>17.1</c:v>
                </c:pt>
                <c:pt idx="187">
                  <c:v>16.9</c:v>
                </c:pt>
                <c:pt idx="188">
                  <c:v>15.8</c:v>
                </c:pt>
                <c:pt idx="189">
                  <c:v>14.8</c:v>
                </c:pt>
                <c:pt idx="190">
                  <c:v>16.6</c:v>
                </c:pt>
                <c:pt idx="191">
                  <c:v>16.4</c:v>
                </c:pt>
                <c:pt idx="192">
                  <c:v>15.6</c:v>
                </c:pt>
                <c:pt idx="193">
                  <c:v>14.9</c:v>
                </c:pt>
                <c:pt idx="194">
                  <c:v>15</c:v>
                </c:pt>
                <c:pt idx="195">
                  <c:v>13.3</c:v>
                </c:pt>
                <c:pt idx="196">
                  <c:v>12.5</c:v>
                </c:pt>
                <c:pt idx="197">
                  <c:v>13</c:v>
                </c:pt>
                <c:pt idx="198">
                  <c:v>15.2</c:v>
                </c:pt>
                <c:pt idx="199">
                  <c:v>17</c:v>
                </c:pt>
                <c:pt idx="200">
                  <c:v>16.7</c:v>
                </c:pt>
                <c:pt idx="201">
                  <c:v>18.7</c:v>
                </c:pt>
                <c:pt idx="202">
                  <c:v>19.8</c:v>
                </c:pt>
                <c:pt idx="203">
                  <c:v>18.4</c:v>
                </c:pt>
                <c:pt idx="204">
                  <c:v>17.5</c:v>
                </c:pt>
                <c:pt idx="205">
                  <c:v>17.8</c:v>
                </c:pt>
                <c:pt idx="206">
                  <c:v>17.1</c:v>
                </c:pt>
                <c:pt idx="207">
                  <c:v>17.8</c:v>
                </c:pt>
                <c:pt idx="208">
                  <c:v>19</c:v>
                </c:pt>
                <c:pt idx="209">
                  <c:v>19.2</c:v>
                </c:pt>
                <c:pt idx="210">
                  <c:v>19.9</c:v>
                </c:pt>
                <c:pt idx="211">
                  <c:v>21.3</c:v>
                </c:pt>
                <c:pt idx="212">
                  <c:v>19.8</c:v>
                </c:pt>
                <c:pt idx="213">
                  <c:v>18.4</c:v>
                </c:pt>
                <c:pt idx="214">
                  <c:v>16.5</c:v>
                </c:pt>
                <c:pt idx="215">
                  <c:v>16.4</c:v>
                </c:pt>
                <c:pt idx="216">
                  <c:v>15.1</c:v>
                </c:pt>
                <c:pt idx="217">
                  <c:v>17.3</c:v>
                </c:pt>
                <c:pt idx="218">
                  <c:v>27.2</c:v>
                </c:pt>
                <c:pt idx="219">
                  <c:v>38.9</c:v>
                </c:pt>
                <c:pt idx="220">
                  <c:v>36</c:v>
                </c:pt>
                <c:pt idx="221">
                  <c:v>33.2</c:v>
                </c:pt>
                <c:pt idx="222">
                  <c:v>28</c:v>
                </c:pt>
                <c:pt idx="223">
                  <c:v>23.7</c:v>
                </c:pt>
                <c:pt idx="224">
                  <c:v>19.4</c:v>
                </c:pt>
                <c:pt idx="225">
                  <c:v>19.1</c:v>
                </c:pt>
                <c:pt idx="226">
                  <c:v>19.2</c:v>
                </c:pt>
                <c:pt idx="227">
                  <c:v>19.2</c:v>
                </c:pt>
                <c:pt idx="228">
                  <c:v>18.2</c:v>
                </c:pt>
                <c:pt idx="229">
                  <c:v>19.1</c:v>
                </c:pt>
                <c:pt idx="230">
                  <c:v>19.8</c:v>
                </c:pt>
                <c:pt idx="231">
                  <c:v>20.5</c:v>
                </c:pt>
                <c:pt idx="232">
                  <c:v>22.2</c:v>
                </c:pt>
                <c:pt idx="233">
                  <c:v>21.3</c:v>
                </c:pt>
                <c:pt idx="234">
                  <c:v>18.4</c:v>
                </c:pt>
                <c:pt idx="235">
                  <c:v>18.2</c:v>
                </c:pt>
                <c:pt idx="236">
                  <c:v>18.1</c:v>
                </c:pt>
                <c:pt idx="237">
                  <c:v>17.6</c:v>
                </c:pt>
                <c:pt idx="238">
                  <c:v>19</c:v>
                </c:pt>
                <c:pt idx="239">
                  <c:v>19.9</c:v>
                </c:pt>
                <c:pt idx="240">
                  <c:v>21.2</c:v>
                </c:pt>
                <c:pt idx="241">
                  <c:v>20.3</c:v>
                </c:pt>
                <c:pt idx="242">
                  <c:v>19.8</c:v>
                </c:pt>
                <c:pt idx="243">
                  <c:v>20.3</c:v>
                </c:pt>
                <c:pt idx="244">
                  <c:v>20.3</c:v>
                </c:pt>
                <c:pt idx="245">
                  <c:v>19.2</c:v>
                </c:pt>
                <c:pt idx="246">
                  <c:v>18.5</c:v>
                </c:pt>
                <c:pt idx="247">
                  <c:v>17.4</c:v>
                </c:pt>
                <c:pt idx="248">
                  <c:v>18.5</c:v>
                </c:pt>
                <c:pt idx="249">
                  <c:v>18.7</c:v>
                </c:pt>
                <c:pt idx="250">
                  <c:v>18.7</c:v>
                </c:pt>
                <c:pt idx="251">
                  <c:v>18.5</c:v>
                </c:pt>
                <c:pt idx="252">
                  <c:v>17.7</c:v>
                </c:pt>
                <c:pt idx="253">
                  <c:v>16.9</c:v>
                </c:pt>
                <c:pt idx="254">
                  <c:v>16.7</c:v>
                </c:pt>
                <c:pt idx="255">
                  <c:v>16</c:v>
                </c:pt>
                <c:pt idx="256">
                  <c:v>16.6</c:v>
                </c:pt>
                <c:pt idx="257">
                  <c:v>15.3</c:v>
                </c:pt>
                <c:pt idx="258">
                  <c:v>13.6</c:v>
                </c:pt>
                <c:pt idx="259">
                  <c:v>14.1</c:v>
                </c:pt>
                <c:pt idx="260">
                  <c:v>13.8</c:v>
                </c:pt>
                <c:pt idx="261">
                  <c:v>13.9</c:v>
                </c:pt>
                <c:pt idx="262">
                  <c:v>15.2</c:v>
                </c:pt>
                <c:pt idx="263">
                  <c:v>16.3</c:v>
                </c:pt>
                <c:pt idx="264">
                  <c:v>16.7</c:v>
                </c:pt>
                <c:pt idx="265">
                  <c:v>17.6</c:v>
                </c:pt>
                <c:pt idx="266">
                  <c:v>16.8</c:v>
                </c:pt>
                <c:pt idx="267">
                  <c:v>15.9</c:v>
                </c:pt>
                <c:pt idx="268">
                  <c:v>16.4</c:v>
                </c:pt>
                <c:pt idx="269">
                  <c:v>17.3</c:v>
                </c:pt>
                <c:pt idx="270">
                  <c:v>15.9</c:v>
                </c:pt>
                <c:pt idx="271">
                  <c:v>16.6</c:v>
                </c:pt>
                <c:pt idx="272">
                  <c:v>17.1</c:v>
                </c:pt>
                <c:pt idx="273">
                  <c:v>17</c:v>
                </c:pt>
                <c:pt idx="274">
                  <c:v>18.7</c:v>
                </c:pt>
                <c:pt idx="275">
                  <c:v>18.3</c:v>
                </c:pt>
                <c:pt idx="276">
                  <c:v>17.4</c:v>
                </c:pt>
                <c:pt idx="277">
                  <c:v>15.9</c:v>
                </c:pt>
                <c:pt idx="278">
                  <c:v>16.1</c:v>
                </c:pt>
                <c:pt idx="279">
                  <c:v>16.7</c:v>
                </c:pt>
                <c:pt idx="280">
                  <c:v>16.1</c:v>
                </c:pt>
                <c:pt idx="281">
                  <c:v>16.9</c:v>
                </c:pt>
                <c:pt idx="282">
                  <c:v>18</c:v>
                </c:pt>
                <c:pt idx="283">
                  <c:v>17.9</c:v>
                </c:pt>
                <c:pt idx="284">
                  <c:v>18</c:v>
                </c:pt>
                <c:pt idx="285">
                  <c:v>20</c:v>
                </c:pt>
                <c:pt idx="286">
                  <c:v>21</c:v>
                </c:pt>
                <c:pt idx="287">
                  <c:v>19.2</c:v>
                </c:pt>
                <c:pt idx="288">
                  <c:v>18.3</c:v>
                </c:pt>
                <c:pt idx="289">
                  <c:v>19.6</c:v>
                </c:pt>
                <c:pt idx="290">
                  <c:v>20.6</c:v>
                </c:pt>
                <c:pt idx="291">
                  <c:v>22.6</c:v>
                </c:pt>
                <c:pt idx="292">
                  <c:v>24.2</c:v>
                </c:pt>
                <c:pt idx="293">
                  <c:v>22.6</c:v>
                </c:pt>
                <c:pt idx="294">
                  <c:v>23.9</c:v>
                </c:pt>
                <c:pt idx="295">
                  <c:v>23.5</c:v>
                </c:pt>
                <c:pt idx="296">
                  <c:v>20.8</c:v>
                </c:pt>
                <c:pt idx="297">
                  <c:v>19.2</c:v>
                </c:pt>
                <c:pt idx="298">
                  <c:v>17.5</c:v>
                </c:pt>
                <c:pt idx="299">
                  <c:v>19.1</c:v>
                </c:pt>
                <c:pt idx="300">
                  <c:v>17.6</c:v>
                </c:pt>
                <c:pt idx="301">
                  <c:v>18.4</c:v>
                </c:pt>
                <c:pt idx="302">
                  <c:v>18.7</c:v>
                </c:pt>
                <c:pt idx="303">
                  <c:v>18.5</c:v>
                </c:pt>
                <c:pt idx="304">
                  <c:v>19.9</c:v>
                </c:pt>
                <c:pt idx="305">
                  <c:v>19</c:v>
                </c:pt>
                <c:pt idx="306">
                  <c:v>17.1</c:v>
                </c:pt>
                <c:pt idx="307">
                  <c:v>15.1</c:v>
                </c:pt>
                <c:pt idx="308">
                  <c:v>14.1</c:v>
                </c:pt>
                <c:pt idx="309">
                  <c:v>13.1</c:v>
                </c:pt>
                <c:pt idx="310">
                  <c:v>13.4</c:v>
                </c:pt>
                <c:pt idx="311">
                  <c:v>14.4</c:v>
                </c:pt>
                <c:pt idx="312">
                  <c:v>12.1</c:v>
                </c:pt>
                <c:pt idx="313">
                  <c:v>12</c:v>
                </c:pt>
                <c:pt idx="314">
                  <c:v>11.9</c:v>
                </c:pt>
                <c:pt idx="315">
                  <c:v>13.4</c:v>
                </c:pt>
                <c:pt idx="316">
                  <c:v>12.6</c:v>
                </c:pt>
                <c:pt idx="317">
                  <c:v>10.9</c:v>
                </c:pt>
                <c:pt idx="318">
                  <c:v>9.8</c:v>
                </c:pt>
                <c:pt idx="319">
                  <c:v>11</c:v>
                </c:pt>
                <c:pt idx="320">
                  <c:v>10.2</c:v>
                </c:pt>
                <c:pt idx="321">
                  <c:v>12.1</c:v>
                </c:pt>
                <c:pt idx="322">
                  <c:v>15.2</c:v>
                </c:pt>
                <c:pt idx="323">
                  <c:v>15.2</c:v>
                </c:pt>
                <c:pt idx="324">
                  <c:v>15.6</c:v>
                </c:pt>
                <c:pt idx="325">
                  <c:v>18.7</c:v>
                </c:pt>
                <c:pt idx="326">
                  <c:v>20.2</c:v>
                </c:pt>
                <c:pt idx="327">
                  <c:v>22.1</c:v>
                </c:pt>
                <c:pt idx="328">
                  <c:v>22.1</c:v>
                </c:pt>
                <c:pt idx="329">
                  <c:v>24.6</c:v>
                </c:pt>
                <c:pt idx="330">
                  <c:v>25.5</c:v>
                </c:pt>
                <c:pt idx="331">
                  <c:v>25.2</c:v>
                </c:pt>
                <c:pt idx="332">
                  <c:v>27.6</c:v>
                </c:pt>
                <c:pt idx="333">
                  <c:v>27.5</c:v>
                </c:pt>
                <c:pt idx="334">
                  <c:v>22.5</c:v>
                </c:pt>
                <c:pt idx="335">
                  <c:v>27.4</c:v>
                </c:pt>
                <c:pt idx="336">
                  <c:v>29.7</c:v>
                </c:pt>
                <c:pt idx="337">
                  <c:v>28.5</c:v>
                </c:pt>
                <c:pt idx="338">
                  <c:v>29.9</c:v>
                </c:pt>
                <c:pt idx="339">
                  <c:v>32.6</c:v>
                </c:pt>
                <c:pt idx="340">
                  <c:v>30.9</c:v>
                </c:pt>
                <c:pt idx="341">
                  <c:v>32.5</c:v>
                </c:pt>
                <c:pt idx="342">
                  <c:v>25.3</c:v>
                </c:pt>
                <c:pt idx="343">
                  <c:v>25.6</c:v>
                </c:pt>
                <c:pt idx="344">
                  <c:v>27.4</c:v>
                </c:pt>
                <c:pt idx="345">
                  <c:v>24.4</c:v>
                </c:pt>
                <c:pt idx="346">
                  <c:v>25.6</c:v>
                </c:pt>
                <c:pt idx="347">
                  <c:v>28.5</c:v>
                </c:pt>
                <c:pt idx="348">
                  <c:v>27.7</c:v>
                </c:pt>
                <c:pt idx="349">
                  <c:v>24.5</c:v>
                </c:pt>
                <c:pt idx="350">
                  <c:v>25.7</c:v>
                </c:pt>
                <c:pt idx="351">
                  <c:v>25.5</c:v>
                </c:pt>
                <c:pt idx="352">
                  <c:v>20.5</c:v>
                </c:pt>
                <c:pt idx="353">
                  <c:v>18.9</c:v>
                </c:pt>
                <c:pt idx="354">
                  <c:v>18.6</c:v>
                </c:pt>
                <c:pt idx="355">
                  <c:v>19.9</c:v>
                </c:pt>
                <c:pt idx="356">
                  <c:v>20.1</c:v>
                </c:pt>
                <c:pt idx="357">
                  <c:v>22.2</c:v>
                </c:pt>
                <c:pt idx="358">
                  <c:v>24.1</c:v>
                </c:pt>
                <c:pt idx="359">
                  <c:v>26.4</c:v>
                </c:pt>
                <c:pt idx="360">
                  <c:v>22.8</c:v>
                </c:pt>
                <c:pt idx="361">
                  <c:v>25.7</c:v>
                </c:pt>
                <c:pt idx="362">
                  <c:v>25.6</c:v>
                </c:pt>
                <c:pt idx="363">
                  <c:v>28.5</c:v>
                </c:pt>
                <c:pt idx="364">
                  <c:v>28.21</c:v>
                </c:pt>
                <c:pt idx="365">
                  <c:v>23.94</c:v>
                </c:pt>
                <c:pt idx="366">
                  <c:v>27.23</c:v>
                </c:pt>
                <c:pt idx="367">
                  <c:v>30.86</c:v>
                </c:pt>
                <c:pt idx="368">
                  <c:v>32.5</c:v>
                </c:pt>
                <c:pt idx="369">
                  <c:v>33.79</c:v>
                </c:pt>
                <c:pt idx="370">
                  <c:v>24.23</c:v>
                </c:pt>
                <c:pt idx="371">
                  <c:v>25.61</c:v>
                </c:pt>
                <c:pt idx="372">
                  <c:v>28.79</c:v>
                </c:pt>
                <c:pt idx="373">
                  <c:v>29.29</c:v>
                </c:pt>
                <c:pt idx="374">
                  <c:v>30.13</c:v>
                </c:pt>
                <c:pt idx="375">
                  <c:v>27.38</c:v>
                </c:pt>
                <c:pt idx="376">
                  <c:v>30.98</c:v>
                </c:pt>
                <c:pt idx="377">
                  <c:v>28.95</c:v>
                </c:pt>
                <c:pt idx="378">
                  <c:v>28.9</c:v>
                </c:pt>
              </c:numCache>
            </c:numRef>
          </c:val>
          <c:smooth val="0"/>
        </c:ser>
        <c:axId val="56486832"/>
        <c:axId val="38619441"/>
      </c:lineChart>
      <c:catAx>
        <c:axId val="564868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/>
            </a:pPr>
          </a:p>
        </c:txPr>
        <c:crossAx val="38619441"/>
        <c:crosses val="autoZero"/>
        <c:auto val="0"/>
        <c:lblOffset val="100"/>
        <c:tickLblSkip val="24"/>
        <c:tickMarkSkip val="24"/>
        <c:noMultiLvlLbl val="0"/>
      </c:catAx>
      <c:valAx>
        <c:axId val="38619441"/>
        <c:scaling>
          <c:orientation val="minMax"/>
          <c:max val="45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/>
            </a:pPr>
          </a:p>
        </c:txPr>
        <c:crossAx val="56486832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075"/>
          <c:y val="0.77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BRENT JE FASS UND SWEP JE MWh, PREIS IN US$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09375"/>
          <c:w val="0.9525"/>
          <c:h val="0.90625"/>
        </c:manualLayout>
      </c:layout>
      <c:lineChart>
        <c:grouping val="standard"/>
        <c:varyColors val="0"/>
        <c:ser>
          <c:idx val="0"/>
          <c:order val="0"/>
          <c:tx>
            <c:v>Rohöl Brent Spot Preis Fass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ErdölStrom!$B$327:$B$398</c:f>
              <c:numCache>
                <c:ptCount val="72"/>
                <c:pt idx="0">
                  <c:v>98.5833333333318</c:v>
                </c:pt>
                <c:pt idx="1">
                  <c:v>98.66666666666512</c:v>
                </c:pt>
                <c:pt idx="2">
                  <c:v>98.74999999999845</c:v>
                </c:pt>
                <c:pt idx="3">
                  <c:v>98.83333333333178</c:v>
                </c:pt>
                <c:pt idx="4">
                  <c:v>98.91666666666511</c:v>
                </c:pt>
                <c:pt idx="5">
                  <c:v>98.99999999999844</c:v>
                </c:pt>
                <c:pt idx="6">
                  <c:v>99.08333333333177</c:v>
                </c:pt>
                <c:pt idx="7">
                  <c:v>99.1666666666651</c:v>
                </c:pt>
                <c:pt idx="8">
                  <c:v>99.24999999999842</c:v>
                </c:pt>
                <c:pt idx="9">
                  <c:v>99.33333333333175</c:v>
                </c:pt>
                <c:pt idx="10">
                  <c:v>99.41666666666508</c:v>
                </c:pt>
                <c:pt idx="11">
                  <c:v>99.49999999999841</c:v>
                </c:pt>
                <c:pt idx="12">
                  <c:v>0</c:v>
                </c:pt>
                <c:pt idx="13">
                  <c:v>0.08333333333333333</c:v>
                </c:pt>
                <c:pt idx="14">
                  <c:v>0.16666666666666666</c:v>
                </c:pt>
                <c:pt idx="15">
                  <c:v>0.25</c:v>
                </c:pt>
                <c:pt idx="16">
                  <c:v>0.3333333333333333</c:v>
                </c:pt>
                <c:pt idx="17">
                  <c:v>0.41666666666666663</c:v>
                </c:pt>
                <c:pt idx="18">
                  <c:v>0.49999999999999994</c:v>
                </c:pt>
                <c:pt idx="19">
                  <c:v>0.5833333333333333</c:v>
                </c:pt>
                <c:pt idx="20">
                  <c:v>0.6666666666666666</c:v>
                </c:pt>
                <c:pt idx="21">
                  <c:v>0.75</c:v>
                </c:pt>
                <c:pt idx="22">
                  <c:v>0.8333333333333334</c:v>
                </c:pt>
                <c:pt idx="23">
                  <c:v>0.9166666666666667</c:v>
                </c:pt>
                <c:pt idx="24">
                  <c:v>1</c:v>
                </c:pt>
                <c:pt idx="25">
                  <c:v>1.0833333333333333</c:v>
                </c:pt>
                <c:pt idx="26">
                  <c:v>1.1666666666666665</c:v>
                </c:pt>
                <c:pt idx="27">
                  <c:v>1.2499999999999998</c:v>
                </c:pt>
                <c:pt idx="28">
                  <c:v>1.333333333333333</c:v>
                </c:pt>
                <c:pt idx="29">
                  <c:v>1.4166666666666663</c:v>
                </c:pt>
                <c:pt idx="30">
                  <c:v>1.4999999999999996</c:v>
                </c:pt>
                <c:pt idx="31">
                  <c:v>1.5833333333333328</c:v>
                </c:pt>
                <c:pt idx="32">
                  <c:v>1.666666666666666</c:v>
                </c:pt>
                <c:pt idx="33">
                  <c:v>1.7499999999999993</c:v>
                </c:pt>
                <c:pt idx="34">
                  <c:v>1.8333333333333326</c:v>
                </c:pt>
                <c:pt idx="35">
                  <c:v>1.9166666666666659</c:v>
                </c:pt>
                <c:pt idx="36">
                  <c:v>1.9999999999999991</c:v>
                </c:pt>
                <c:pt idx="37">
                  <c:v>2.0833333333333326</c:v>
                </c:pt>
                <c:pt idx="38">
                  <c:v>2.166666666666666</c:v>
                </c:pt>
                <c:pt idx="39">
                  <c:v>2.2499999999999996</c:v>
                </c:pt>
                <c:pt idx="40">
                  <c:v>2.333333333333333</c:v>
                </c:pt>
                <c:pt idx="41">
                  <c:v>2.4166666666666665</c:v>
                </c:pt>
                <c:pt idx="42">
                  <c:v>2.5</c:v>
                </c:pt>
                <c:pt idx="43">
                  <c:v>2.5833333333333335</c:v>
                </c:pt>
                <c:pt idx="44">
                  <c:v>2.666666666666667</c:v>
                </c:pt>
                <c:pt idx="45">
                  <c:v>2.7500000000000004</c:v>
                </c:pt>
                <c:pt idx="46">
                  <c:v>2.833333333333334</c:v>
                </c:pt>
                <c:pt idx="47">
                  <c:v>2.9166666666666674</c:v>
                </c:pt>
                <c:pt idx="48">
                  <c:v>3.000000000000001</c:v>
                </c:pt>
                <c:pt idx="49">
                  <c:v>3.0833333333333344</c:v>
                </c:pt>
                <c:pt idx="50">
                  <c:v>3.166666666666668</c:v>
                </c:pt>
                <c:pt idx="51">
                  <c:v>3.2500000000000013</c:v>
                </c:pt>
                <c:pt idx="52">
                  <c:v>3.333333333333335</c:v>
                </c:pt>
                <c:pt idx="53">
                  <c:v>3.4166666666666683</c:v>
                </c:pt>
                <c:pt idx="54">
                  <c:v>3.5000000000000018</c:v>
                </c:pt>
                <c:pt idx="55">
                  <c:v>3.5833333333333353</c:v>
                </c:pt>
                <c:pt idx="56">
                  <c:v>3.6666666666666687</c:v>
                </c:pt>
                <c:pt idx="57">
                  <c:v>3.750000000000002</c:v>
                </c:pt>
                <c:pt idx="58">
                  <c:v>3.8333333333333357</c:v>
                </c:pt>
                <c:pt idx="59">
                  <c:v>3.916666666666669</c:v>
                </c:pt>
                <c:pt idx="60">
                  <c:v>4.000000000000003</c:v>
                </c:pt>
                <c:pt idx="61">
                  <c:v>4.083333333333336</c:v>
                </c:pt>
                <c:pt idx="62">
                  <c:v>4.166666666666669</c:v>
                </c:pt>
                <c:pt idx="63">
                  <c:v>4.250000000000002</c:v>
                </c:pt>
                <c:pt idx="64">
                  <c:v>4.333333333333335</c:v>
                </c:pt>
                <c:pt idx="65">
                  <c:v>4.416666666666668</c:v>
                </c:pt>
                <c:pt idx="66">
                  <c:v>4.500000000000001</c:v>
                </c:pt>
                <c:pt idx="67">
                  <c:v>4.583333333333334</c:v>
                </c:pt>
                <c:pt idx="68">
                  <c:v>4.666666666666667</c:v>
                </c:pt>
                <c:pt idx="69">
                  <c:v>4.75</c:v>
                </c:pt>
                <c:pt idx="70">
                  <c:v>4.833333333333333</c:v>
                </c:pt>
                <c:pt idx="71">
                  <c:v>4.916666666666666</c:v>
                </c:pt>
              </c:numCache>
            </c:numRef>
          </c:cat>
          <c:val>
            <c:numRef>
              <c:f>ErdölStrom!$C$327:$C$398</c:f>
              <c:numCache>
                <c:ptCount val="72"/>
                <c:pt idx="0">
                  <c:v>11</c:v>
                </c:pt>
                <c:pt idx="1">
                  <c:v>10.2</c:v>
                </c:pt>
                <c:pt idx="2">
                  <c:v>12.1</c:v>
                </c:pt>
                <c:pt idx="3">
                  <c:v>15.2</c:v>
                </c:pt>
                <c:pt idx="4">
                  <c:v>15.2</c:v>
                </c:pt>
                <c:pt idx="5">
                  <c:v>15.6</c:v>
                </c:pt>
                <c:pt idx="6">
                  <c:v>18.7</c:v>
                </c:pt>
                <c:pt idx="7">
                  <c:v>20.2</c:v>
                </c:pt>
                <c:pt idx="8">
                  <c:v>22.1</c:v>
                </c:pt>
                <c:pt idx="9">
                  <c:v>22.1</c:v>
                </c:pt>
                <c:pt idx="10">
                  <c:v>24.6</c:v>
                </c:pt>
                <c:pt idx="11">
                  <c:v>25.5</c:v>
                </c:pt>
                <c:pt idx="12">
                  <c:v>25.2</c:v>
                </c:pt>
                <c:pt idx="13">
                  <c:v>27.6</c:v>
                </c:pt>
                <c:pt idx="14">
                  <c:v>27.5</c:v>
                </c:pt>
                <c:pt idx="15">
                  <c:v>22.5</c:v>
                </c:pt>
                <c:pt idx="16">
                  <c:v>27.4</c:v>
                </c:pt>
                <c:pt idx="17">
                  <c:v>29.7</c:v>
                </c:pt>
                <c:pt idx="18">
                  <c:v>28.5</c:v>
                </c:pt>
                <c:pt idx="19">
                  <c:v>29.9</c:v>
                </c:pt>
                <c:pt idx="20">
                  <c:v>32.6</c:v>
                </c:pt>
                <c:pt idx="21">
                  <c:v>30.9</c:v>
                </c:pt>
                <c:pt idx="22">
                  <c:v>32.5</c:v>
                </c:pt>
                <c:pt idx="23">
                  <c:v>25.3</c:v>
                </c:pt>
                <c:pt idx="24">
                  <c:v>25.6</c:v>
                </c:pt>
                <c:pt idx="25">
                  <c:v>27.4</c:v>
                </c:pt>
                <c:pt idx="26">
                  <c:v>24.4</c:v>
                </c:pt>
                <c:pt idx="27">
                  <c:v>25.6</c:v>
                </c:pt>
                <c:pt idx="28">
                  <c:v>28.5</c:v>
                </c:pt>
                <c:pt idx="29">
                  <c:v>27.7</c:v>
                </c:pt>
                <c:pt idx="30">
                  <c:v>24.5</c:v>
                </c:pt>
                <c:pt idx="31">
                  <c:v>25.7</c:v>
                </c:pt>
                <c:pt idx="32">
                  <c:v>25.5</c:v>
                </c:pt>
                <c:pt idx="33">
                  <c:v>20.5</c:v>
                </c:pt>
                <c:pt idx="34">
                  <c:v>18.9</c:v>
                </c:pt>
                <c:pt idx="35">
                  <c:v>18.6</c:v>
                </c:pt>
                <c:pt idx="36">
                  <c:v>19.9</c:v>
                </c:pt>
                <c:pt idx="37">
                  <c:v>20.1</c:v>
                </c:pt>
                <c:pt idx="38">
                  <c:v>22.2</c:v>
                </c:pt>
                <c:pt idx="39">
                  <c:v>24.1</c:v>
                </c:pt>
                <c:pt idx="40">
                  <c:v>26.4</c:v>
                </c:pt>
                <c:pt idx="41">
                  <c:v>22.8</c:v>
                </c:pt>
                <c:pt idx="42">
                  <c:v>25.7</c:v>
                </c:pt>
                <c:pt idx="43">
                  <c:v>25.6</c:v>
                </c:pt>
                <c:pt idx="44">
                  <c:v>28.5</c:v>
                </c:pt>
                <c:pt idx="45">
                  <c:v>28.21</c:v>
                </c:pt>
                <c:pt idx="46">
                  <c:v>23.94</c:v>
                </c:pt>
                <c:pt idx="47">
                  <c:v>27.23</c:v>
                </c:pt>
                <c:pt idx="48">
                  <c:v>30.86</c:v>
                </c:pt>
                <c:pt idx="49">
                  <c:v>32.5</c:v>
                </c:pt>
                <c:pt idx="50">
                  <c:v>33.79</c:v>
                </c:pt>
                <c:pt idx="51">
                  <c:v>24.23</c:v>
                </c:pt>
                <c:pt idx="52">
                  <c:v>25.61</c:v>
                </c:pt>
                <c:pt idx="53">
                  <c:v>28.79</c:v>
                </c:pt>
                <c:pt idx="54">
                  <c:v>29.29</c:v>
                </c:pt>
                <c:pt idx="55">
                  <c:v>30.13</c:v>
                </c:pt>
                <c:pt idx="56">
                  <c:v>27.38</c:v>
                </c:pt>
                <c:pt idx="57">
                  <c:v>30.98</c:v>
                </c:pt>
                <c:pt idx="58">
                  <c:v>28.95</c:v>
                </c:pt>
                <c:pt idx="59">
                  <c:v>28.9</c:v>
                </c:pt>
              </c:numCache>
            </c:numRef>
          </c:val>
          <c:smooth val="0"/>
        </c:ser>
        <c:ser>
          <c:idx val="1"/>
          <c:order val="1"/>
          <c:tx>
            <c:v>SWEP Strom je MWh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19"/>
            <c:spPr>
              <a:ln w="38100">
                <a:solidFill>
                  <a:srgbClr val="000000"/>
                </a:solidFill>
              </a:ln>
            </c:spPr>
            <c:marker>
              <c:size val="9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000000"/>
                </a:solidFill>
              </a:ln>
            </c:spPr>
            <c:marker>
              <c:size val="9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ErdölStrom!$B$327:$B$398</c:f>
              <c:numCache>
                <c:ptCount val="72"/>
                <c:pt idx="0">
                  <c:v>98.5833333333318</c:v>
                </c:pt>
                <c:pt idx="1">
                  <c:v>98.66666666666512</c:v>
                </c:pt>
                <c:pt idx="2">
                  <c:v>98.74999999999845</c:v>
                </c:pt>
                <c:pt idx="3">
                  <c:v>98.83333333333178</c:v>
                </c:pt>
                <c:pt idx="4">
                  <c:v>98.91666666666511</c:v>
                </c:pt>
                <c:pt idx="5">
                  <c:v>98.99999999999844</c:v>
                </c:pt>
                <c:pt idx="6">
                  <c:v>99.08333333333177</c:v>
                </c:pt>
                <c:pt idx="7">
                  <c:v>99.1666666666651</c:v>
                </c:pt>
                <c:pt idx="8">
                  <c:v>99.24999999999842</c:v>
                </c:pt>
                <c:pt idx="9">
                  <c:v>99.33333333333175</c:v>
                </c:pt>
                <c:pt idx="10">
                  <c:v>99.41666666666508</c:v>
                </c:pt>
                <c:pt idx="11">
                  <c:v>99.49999999999841</c:v>
                </c:pt>
                <c:pt idx="12">
                  <c:v>0</c:v>
                </c:pt>
                <c:pt idx="13">
                  <c:v>0.08333333333333333</c:v>
                </c:pt>
                <c:pt idx="14">
                  <c:v>0.16666666666666666</c:v>
                </c:pt>
                <c:pt idx="15">
                  <c:v>0.25</c:v>
                </c:pt>
                <c:pt idx="16">
                  <c:v>0.3333333333333333</c:v>
                </c:pt>
                <c:pt idx="17">
                  <c:v>0.41666666666666663</c:v>
                </c:pt>
                <c:pt idx="18">
                  <c:v>0.49999999999999994</c:v>
                </c:pt>
                <c:pt idx="19">
                  <c:v>0.5833333333333333</c:v>
                </c:pt>
                <c:pt idx="20">
                  <c:v>0.6666666666666666</c:v>
                </c:pt>
                <c:pt idx="21">
                  <c:v>0.75</c:v>
                </c:pt>
                <c:pt idx="22">
                  <c:v>0.8333333333333334</c:v>
                </c:pt>
                <c:pt idx="23">
                  <c:v>0.9166666666666667</c:v>
                </c:pt>
                <c:pt idx="24">
                  <c:v>1</c:v>
                </c:pt>
                <c:pt idx="25">
                  <c:v>1.0833333333333333</c:v>
                </c:pt>
                <c:pt idx="26">
                  <c:v>1.1666666666666665</c:v>
                </c:pt>
                <c:pt idx="27">
                  <c:v>1.2499999999999998</c:v>
                </c:pt>
                <c:pt idx="28">
                  <c:v>1.333333333333333</c:v>
                </c:pt>
                <c:pt idx="29">
                  <c:v>1.4166666666666663</c:v>
                </c:pt>
                <c:pt idx="30">
                  <c:v>1.4999999999999996</c:v>
                </c:pt>
                <c:pt idx="31">
                  <c:v>1.5833333333333328</c:v>
                </c:pt>
                <c:pt idx="32">
                  <c:v>1.666666666666666</c:v>
                </c:pt>
                <c:pt idx="33">
                  <c:v>1.7499999999999993</c:v>
                </c:pt>
                <c:pt idx="34">
                  <c:v>1.8333333333333326</c:v>
                </c:pt>
                <c:pt idx="35">
                  <c:v>1.9166666666666659</c:v>
                </c:pt>
                <c:pt idx="36">
                  <c:v>1.9999999999999991</c:v>
                </c:pt>
                <c:pt idx="37">
                  <c:v>2.0833333333333326</c:v>
                </c:pt>
                <c:pt idx="38">
                  <c:v>2.166666666666666</c:v>
                </c:pt>
                <c:pt idx="39">
                  <c:v>2.2499999999999996</c:v>
                </c:pt>
                <c:pt idx="40">
                  <c:v>2.333333333333333</c:v>
                </c:pt>
                <c:pt idx="41">
                  <c:v>2.4166666666666665</c:v>
                </c:pt>
                <c:pt idx="42">
                  <c:v>2.5</c:v>
                </c:pt>
                <c:pt idx="43">
                  <c:v>2.5833333333333335</c:v>
                </c:pt>
                <c:pt idx="44">
                  <c:v>2.666666666666667</c:v>
                </c:pt>
                <c:pt idx="45">
                  <c:v>2.7500000000000004</c:v>
                </c:pt>
                <c:pt idx="46">
                  <c:v>2.833333333333334</c:v>
                </c:pt>
                <c:pt idx="47">
                  <c:v>2.9166666666666674</c:v>
                </c:pt>
                <c:pt idx="48">
                  <c:v>3.000000000000001</c:v>
                </c:pt>
                <c:pt idx="49">
                  <c:v>3.0833333333333344</c:v>
                </c:pt>
                <c:pt idx="50">
                  <c:v>3.166666666666668</c:v>
                </c:pt>
                <c:pt idx="51">
                  <c:v>3.2500000000000013</c:v>
                </c:pt>
                <c:pt idx="52">
                  <c:v>3.333333333333335</c:v>
                </c:pt>
                <c:pt idx="53">
                  <c:v>3.4166666666666683</c:v>
                </c:pt>
                <c:pt idx="54">
                  <c:v>3.5000000000000018</c:v>
                </c:pt>
                <c:pt idx="55">
                  <c:v>3.5833333333333353</c:v>
                </c:pt>
                <c:pt idx="56">
                  <c:v>3.6666666666666687</c:v>
                </c:pt>
                <c:pt idx="57">
                  <c:v>3.750000000000002</c:v>
                </c:pt>
                <c:pt idx="58">
                  <c:v>3.8333333333333357</c:v>
                </c:pt>
                <c:pt idx="59">
                  <c:v>3.916666666666669</c:v>
                </c:pt>
                <c:pt idx="60">
                  <c:v>4.000000000000003</c:v>
                </c:pt>
                <c:pt idx="61">
                  <c:v>4.083333333333336</c:v>
                </c:pt>
                <c:pt idx="62">
                  <c:v>4.166666666666669</c:v>
                </c:pt>
                <c:pt idx="63">
                  <c:v>4.250000000000002</c:v>
                </c:pt>
                <c:pt idx="64">
                  <c:v>4.333333333333335</c:v>
                </c:pt>
                <c:pt idx="65">
                  <c:v>4.416666666666668</c:v>
                </c:pt>
                <c:pt idx="66">
                  <c:v>4.500000000000001</c:v>
                </c:pt>
                <c:pt idx="67">
                  <c:v>4.583333333333334</c:v>
                </c:pt>
                <c:pt idx="68">
                  <c:v>4.666666666666667</c:v>
                </c:pt>
                <c:pt idx="69">
                  <c:v>4.75</c:v>
                </c:pt>
                <c:pt idx="70">
                  <c:v>4.833333333333333</c:v>
                </c:pt>
                <c:pt idx="71">
                  <c:v>4.916666666666666</c:v>
                </c:pt>
              </c:numCache>
            </c:numRef>
          </c:cat>
          <c:val>
            <c:numRef>
              <c:f>ErdölStrom!$M$327:$M$398</c:f>
              <c:numCache>
                <c:ptCount val="72"/>
                <c:pt idx="8">
                  <c:v>17.6138</c:v>
                </c:pt>
                <c:pt idx="9">
                  <c:v>19.0968</c:v>
                </c:pt>
                <c:pt idx="10">
                  <c:v>22.4568</c:v>
                </c:pt>
                <c:pt idx="11">
                  <c:v>24.4723</c:v>
                </c:pt>
                <c:pt idx="12">
                  <c:v>24.2119</c:v>
                </c:pt>
                <c:pt idx="13">
                  <c:v>23.879</c:v>
                </c:pt>
                <c:pt idx="14">
                  <c:v>21.7632</c:v>
                </c:pt>
                <c:pt idx="15">
                  <c:v>25.5302</c:v>
                </c:pt>
                <c:pt idx="16">
                  <c:v>17.8605</c:v>
                </c:pt>
                <c:pt idx="17">
                  <c:v>18.882150000000003</c:v>
                </c:pt>
                <c:pt idx="18">
                  <c:v>23.0219</c:v>
                </c:pt>
                <c:pt idx="19">
                  <c:v>17.6155</c:v>
                </c:pt>
                <c:pt idx="20">
                  <c:v>30.7251</c:v>
                </c:pt>
                <c:pt idx="21">
                  <c:v>26.8842</c:v>
                </c:pt>
                <c:pt idx="22">
                  <c:v>23.7517</c:v>
                </c:pt>
                <c:pt idx="23">
                  <c:v>25.5112</c:v>
                </c:pt>
                <c:pt idx="24">
                  <c:v>26.6297</c:v>
                </c:pt>
                <c:pt idx="25">
                  <c:v>23.7877</c:v>
                </c:pt>
                <c:pt idx="26">
                  <c:v>26.3653</c:v>
                </c:pt>
                <c:pt idx="27">
                  <c:v>24.0317</c:v>
                </c:pt>
                <c:pt idx="28">
                  <c:v>23.7589</c:v>
                </c:pt>
                <c:pt idx="29">
                  <c:v>28.9518</c:v>
                </c:pt>
                <c:pt idx="30">
                  <c:v>28.3879</c:v>
                </c:pt>
                <c:pt idx="31">
                  <c:v>20.5544</c:v>
                </c:pt>
                <c:pt idx="32">
                  <c:v>30.6603</c:v>
                </c:pt>
                <c:pt idx="33">
                  <c:v>27.7892</c:v>
                </c:pt>
                <c:pt idx="34">
                  <c:v>33.7641</c:v>
                </c:pt>
                <c:pt idx="35">
                  <c:v>56.2782</c:v>
                </c:pt>
                <c:pt idx="36">
                  <c:v>47.3621</c:v>
                </c:pt>
                <c:pt idx="37">
                  <c:v>21.1658</c:v>
                </c:pt>
                <c:pt idx="38">
                  <c:v>23.1</c:v>
                </c:pt>
                <c:pt idx="39">
                  <c:v>29.1</c:v>
                </c:pt>
                <c:pt idx="40">
                  <c:v>21</c:v>
                </c:pt>
                <c:pt idx="41">
                  <c:v>37</c:v>
                </c:pt>
                <c:pt idx="42">
                  <c:v>57.9</c:v>
                </c:pt>
                <c:pt idx="43">
                  <c:v>34.7</c:v>
                </c:pt>
                <c:pt idx="44">
                  <c:v>67.1</c:v>
                </c:pt>
                <c:pt idx="45">
                  <c:v>34.82</c:v>
                </c:pt>
                <c:pt idx="46">
                  <c:v>32.47740173339844</c:v>
                </c:pt>
                <c:pt idx="47">
                  <c:v>46.232200622558594</c:v>
                </c:pt>
                <c:pt idx="48">
                  <c:v>50.49079895019531</c:v>
                </c:pt>
                <c:pt idx="49">
                  <c:v>45.55939865112305</c:v>
                </c:pt>
                <c:pt idx="50">
                  <c:v>43.488800048828125</c:v>
                </c:pt>
                <c:pt idx="51">
                  <c:v>41.2765007019043</c:v>
                </c:pt>
                <c:pt idx="52">
                  <c:v>33.610599517822266</c:v>
                </c:pt>
                <c:pt idx="53">
                  <c:v>60.85179901123047</c:v>
                </c:pt>
                <c:pt idx="54">
                  <c:v>57.35940170288086</c:v>
                </c:pt>
                <c:pt idx="55">
                  <c:v>181.81900024414062</c:v>
                </c:pt>
                <c:pt idx="56">
                  <c:v>40.79010009765625</c:v>
                </c:pt>
                <c:pt idx="57">
                  <c:v>39.821800231933594</c:v>
                </c:pt>
                <c:pt idx="58">
                  <c:v>40.479698181152344</c:v>
                </c:pt>
                <c:pt idx="59">
                  <c:v>49.76789855957031</c:v>
                </c:pt>
              </c:numCache>
            </c:numRef>
          </c:val>
          <c:smooth val="0"/>
        </c:ser>
        <c:axId val="12030650"/>
        <c:axId val="41166987"/>
      </c:lineChart>
      <c:catAx>
        <c:axId val="120306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/>
            </a:pPr>
          </a:p>
        </c:txPr>
        <c:crossAx val="41166987"/>
        <c:crosses val="autoZero"/>
        <c:auto val="0"/>
        <c:lblOffset val="100"/>
        <c:tickLblSkip val="12"/>
        <c:tickMarkSkip val="12"/>
        <c:noMultiLvlLbl val="0"/>
      </c:catAx>
      <c:valAx>
        <c:axId val="41166987"/>
        <c:scaling>
          <c:orientation val="minMax"/>
          <c:max val="185"/>
          <c:min val="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/>
            </a:pPr>
          </a:p>
        </c:txPr>
        <c:crossAx val="12030650"/>
        <c:crossesAt val="1"/>
        <c:crossBetween val="midCat"/>
        <c:dispUnits/>
        <c:majorUnit val="25"/>
        <c:minorUnit val="12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575"/>
          <c:y val="0.18"/>
          <c:w val="0.3665"/>
          <c:h val="0.14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1"/>
  <sheetViews>
    <sheetView workbookViewId="0" zoomToFit="1"/>
  </sheetViews>
  <pageMargins left="0.75" right="0.75" top="1" bottom="1" header="0.511811023" footer="0.511811023"/>
  <pageSetup horizontalDpi="300" verticalDpi="300" orientation="landscape" paperSize="9"/>
  <headerFooter>
    <oddHeader>&amp;B</oddHeader>
    <oddFooter>Seite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2"/>
  <sheetViews>
    <sheetView workbookViewId="0" zoomToFit="1"/>
  </sheetViews>
  <pageMargins left="0.75" right="0.75" top="1" bottom="1" header="0.511811023" footer="0.511811023"/>
  <pageSetup horizontalDpi="300" verticalDpi="300" orientation="landscape" paperSize="9"/>
  <headerFooter>
    <oddHeader>&amp;B</oddHeader>
    <oddFooter>Seite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m3"/>
  <sheetViews>
    <sheetView workbookViewId="0" zoomScale="124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amm4"/>
  <sheetViews>
    <sheetView workbookViewId="0" zoomScale="124"/>
  </sheetViews>
  <pageMargins left="0.75" right="0.75" top="1" bottom="1" header="0.511811023" footer="0.511811023"/>
  <pageSetup horizontalDpi="600" verticalDpi="600" orientation="landscape" paperSize="9"/>
  <headerFooter>
    <oddHeader>&amp;A</oddHeader>
    <oddFooter>Seite &amp;P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11811023" footer="0.511811023"/>
  <pageSetup horizontalDpi="600" verticalDpi="600" orientation="landscape" paperSize="9"/>
  <headerFooter>
    <oddHeader>&amp;A</oddHeader>
    <oddFooter>Seite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7915275"/>
    <xdr:graphicFrame>
      <xdr:nvGraphicFramePr>
        <xdr:cNvPr id="1" name="Shape 1025"/>
        <xdr:cNvGraphicFramePr/>
      </xdr:nvGraphicFramePr>
      <xdr:xfrm>
        <a:off x="0" y="0"/>
        <a:ext cx="12153900" cy="791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7915275"/>
    <xdr:graphicFrame>
      <xdr:nvGraphicFramePr>
        <xdr:cNvPr id="1" name="Shape 1025"/>
        <xdr:cNvGraphicFramePr/>
      </xdr:nvGraphicFramePr>
      <xdr:xfrm>
        <a:off x="0" y="0"/>
        <a:ext cx="12153900" cy="791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ERK9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K95"/>
      <sheetName val="VerkNaFr"/>
      <sheetName val="VerkPro95"/>
      <sheetName val="VerkNaEi"/>
      <sheetName val="StrGütVert"/>
      <sheetName val="StrLuVmVer"/>
      <sheetName val="T3"/>
      <sheetName val="T3_1"/>
      <sheetName val="T3_2"/>
      <sheetName val="UmlWSStr"/>
    </sheetNames>
    <sheetDataSet>
      <sheetData sheetId="5">
        <row r="39">
          <cell r="D39">
            <v>1.1914911045775034</v>
          </cell>
          <cell r="E39">
            <v>0.12922507326879626</v>
          </cell>
          <cell r="F39">
            <v>0.14979511859083888</v>
          </cell>
        </row>
        <row r="40">
          <cell r="D40">
            <v>18.44448678737416</v>
          </cell>
          <cell r="E40">
            <v>2.9528506999386352</v>
          </cell>
          <cell r="F40">
            <v>40.19059475586143</v>
          </cell>
        </row>
        <row r="41">
          <cell r="D41">
            <v>10.140318597370527</v>
          </cell>
          <cell r="E41">
            <v>1.6234036334555624</v>
          </cell>
          <cell r="F41">
            <v>22.095786136007966</v>
          </cell>
        </row>
        <row r="42">
          <cell r="D42">
            <v>7.492077491341583</v>
          </cell>
          <cell r="E42">
            <v>1.1994362607826192</v>
          </cell>
          <cell r="F42">
            <v>16.32526043175897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eia.doe.gov/emeu/international/crude1.html" TargetMode="External" /><Relationship Id="rId2" Type="http://schemas.openxmlformats.org/officeDocument/2006/relationships/comments" Target="../comments15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54"/>
  <sheetViews>
    <sheetView workbookViewId="0" topLeftCell="A1">
      <selection activeCell="B3" sqref="B3"/>
    </sheetView>
  </sheetViews>
  <sheetFormatPr defaultColWidth="11.421875" defaultRowHeight="12.75"/>
  <cols>
    <col min="1" max="1" width="15.7109375" style="0" customWidth="1"/>
    <col min="2" max="2" width="14.7109375" style="0" customWidth="1"/>
  </cols>
  <sheetData>
    <row r="2" ht="12.75">
      <c r="A2" s="12" t="s">
        <v>0</v>
      </c>
    </row>
    <row r="3" spans="1:44" ht="12.7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5" t="s">
        <v>12</v>
      </c>
      <c r="M3" s="4" t="s">
        <v>13</v>
      </c>
      <c r="N3" s="4" t="s">
        <v>14</v>
      </c>
      <c r="O3" s="5" t="s">
        <v>15</v>
      </c>
      <c r="P3" s="5" t="s">
        <v>16</v>
      </c>
      <c r="Q3" s="4" t="s">
        <v>17</v>
      </c>
      <c r="R3" s="5" t="s">
        <v>18</v>
      </c>
      <c r="S3" s="4" t="s">
        <v>19</v>
      </c>
      <c r="T3" s="4" t="s">
        <v>20</v>
      </c>
      <c r="U3" s="4" t="s">
        <v>21</v>
      </c>
      <c r="V3" s="5" t="s">
        <v>22</v>
      </c>
      <c r="W3" s="5" t="s">
        <v>23</v>
      </c>
      <c r="X3" s="5" t="s">
        <v>24</v>
      </c>
      <c r="Y3" s="5" t="s">
        <v>25</v>
      </c>
      <c r="Z3" s="5" t="s">
        <v>26</v>
      </c>
      <c r="AA3" s="4" t="s">
        <v>27</v>
      </c>
      <c r="AB3" s="4" t="s">
        <v>28</v>
      </c>
      <c r="AC3" s="4" t="s">
        <v>29</v>
      </c>
      <c r="AD3" s="5" t="s">
        <v>30</v>
      </c>
      <c r="AE3" s="5" t="s">
        <v>31</v>
      </c>
      <c r="AF3" s="5" t="s">
        <v>32</v>
      </c>
      <c r="AG3" s="5" t="s">
        <v>33</v>
      </c>
      <c r="AH3" s="5" t="s">
        <v>34</v>
      </c>
      <c r="AI3" s="4" t="s">
        <v>35</v>
      </c>
      <c r="AJ3" s="5" t="s">
        <v>36</v>
      </c>
      <c r="AK3" s="4" t="s">
        <v>37</v>
      </c>
      <c r="AL3" s="5" t="s">
        <v>38</v>
      </c>
      <c r="AM3" s="5" t="s">
        <v>39</v>
      </c>
      <c r="AN3" s="5" t="s">
        <v>40</v>
      </c>
      <c r="AO3" s="5" t="s">
        <v>41</v>
      </c>
      <c r="AP3" s="4" t="s">
        <v>42</v>
      </c>
      <c r="AQ3" s="4" t="s">
        <v>43</v>
      </c>
      <c r="AR3" s="6" t="s">
        <v>44</v>
      </c>
    </row>
    <row r="4" spans="1:44" ht="12.75">
      <c r="A4" s="5" t="s">
        <v>45</v>
      </c>
      <c r="B4" s="10">
        <v>0.011108007550016352</v>
      </c>
      <c r="C4" s="10">
        <v>0.12568664671294696</v>
      </c>
      <c r="D4" s="10">
        <v>0.1358812444209343</v>
      </c>
      <c r="E4" s="10">
        <v>0.21339351818681185</v>
      </c>
      <c r="F4" s="10">
        <v>0.004407925707193908</v>
      </c>
      <c r="G4" s="10">
        <v>0.005637970330680951</v>
      </c>
      <c r="H4" s="10">
        <v>0.026529173276925788</v>
      </c>
      <c r="I4" s="10">
        <v>0.0017513646049213344</v>
      </c>
      <c r="J4" s="10">
        <v>0.02281706604324956</v>
      </c>
      <c r="K4" s="10">
        <v>0.0009232238552554783</v>
      </c>
      <c r="L4" s="10">
        <v>0.0006854949273375376</v>
      </c>
      <c r="M4" s="10">
        <v>0.0016506648090377687</v>
      </c>
      <c r="N4" s="10">
        <v>0.01874062310817095</v>
      </c>
      <c r="O4" s="10">
        <v>0.0027487630566245184</v>
      </c>
      <c r="P4" s="10">
        <v>0.0019051247856734612</v>
      </c>
      <c r="Q4" s="10">
        <v>0.01203003347326762</v>
      </c>
      <c r="R4" s="10">
        <v>0.011830468241510014</v>
      </c>
      <c r="S4" s="10">
        <v>0.04544102985675056</v>
      </c>
      <c r="T4" s="10">
        <v>0.02959496313255446</v>
      </c>
      <c r="U4" s="10">
        <v>0.009326276299597367</v>
      </c>
      <c r="V4" s="10">
        <v>0.005192653078518281</v>
      </c>
      <c r="W4" s="10">
        <v>0.000354083825804921</v>
      </c>
      <c r="X4" s="10">
        <v>0.000463517323959983</v>
      </c>
      <c r="Y4" s="10">
        <v>0.003704213224092163</v>
      </c>
      <c r="Z4" s="10">
        <v>0.00022015601723087764</v>
      </c>
      <c r="AA4" s="10">
        <v>0.002591549295774648</v>
      </c>
      <c r="AB4" s="10">
        <v>0.011055946529261874</v>
      </c>
      <c r="AC4" s="10">
        <v>0.014169730056565003</v>
      </c>
      <c r="AD4" s="10">
        <v>0.036767569118521096</v>
      </c>
      <c r="AE4" s="10">
        <v>0.031070195627157658</v>
      </c>
      <c r="AF4" s="10">
        <v>0.0004975966083815173</v>
      </c>
      <c r="AG4" s="10">
        <v>0.00258605702364395</v>
      </c>
      <c r="AH4" s="10">
        <v>0.004789272030651341</v>
      </c>
      <c r="AI4" s="10">
        <v>0.002577545233173616</v>
      </c>
      <c r="AJ4" s="10">
        <v>0.004301394245031147</v>
      </c>
      <c r="AK4" s="10">
        <v>0.0005364135390777264</v>
      </c>
      <c r="AL4" s="10">
        <v>0.0029742568413701357</v>
      </c>
      <c r="AM4" s="10">
        <v>0.016734019679045295</v>
      </c>
      <c r="AN4" s="10">
        <v>0.009364619266861546</v>
      </c>
      <c r="AO4" s="10">
        <v>0.008464699748512544</v>
      </c>
      <c r="AP4" s="10">
        <v>0.0018855405836691174</v>
      </c>
      <c r="AQ4" s="10">
        <v>0.0011849745230477545</v>
      </c>
      <c r="AR4" s="8">
        <v>0.009335457135200871</v>
      </c>
    </row>
    <row r="5" spans="1:44" ht="12.75">
      <c r="A5" s="5" t="s">
        <v>46</v>
      </c>
      <c r="B5" s="10">
        <v>0.0003688034127278156</v>
      </c>
      <c r="C5" s="10">
        <v>0.0040143470694449365</v>
      </c>
      <c r="D5" s="10">
        <v>0.33270517186277426</v>
      </c>
      <c r="E5" s="10">
        <v>0</v>
      </c>
      <c r="F5" s="10">
        <v>0.0009842940899559209</v>
      </c>
      <c r="G5" s="10">
        <v>0.0014744691910912064</v>
      </c>
      <c r="H5" s="10">
        <v>0.003481403137669663</v>
      </c>
      <c r="I5" s="10">
        <v>0.0004378411512303336</v>
      </c>
      <c r="J5" s="10">
        <v>0.0009117475160724723</v>
      </c>
      <c r="K5" s="10">
        <v>0.00012734122141454875</v>
      </c>
      <c r="L5" s="10">
        <v>0.001508088840142583</v>
      </c>
      <c r="M5" s="10">
        <v>0.00010600599691068238</v>
      </c>
      <c r="N5" s="10">
        <v>0.004553550277687605</v>
      </c>
      <c r="O5" s="10">
        <v>0.00011951143724454428</v>
      </c>
      <c r="P5" s="10">
        <v>0.0002857687178510192</v>
      </c>
      <c r="Q5" s="10">
        <v>0.0035091450446618467</v>
      </c>
      <c r="R5" s="10">
        <v>0.0036754852789157326</v>
      </c>
      <c r="S5" s="10">
        <v>0.008395571336120195</v>
      </c>
      <c r="T5" s="10">
        <v>0.002659843102925827</v>
      </c>
      <c r="U5" s="10">
        <v>0.0009247422310899773</v>
      </c>
      <c r="V5" s="10">
        <v>0.0005508072621819028</v>
      </c>
      <c r="W5" s="10">
        <v>0.0006267283716747102</v>
      </c>
      <c r="X5" s="10">
        <v>0.00039398972536598556</v>
      </c>
      <c r="Y5" s="10">
        <v>0.00039742590299750855</v>
      </c>
      <c r="Z5" s="10">
        <v>2.9354135630783687E-05</v>
      </c>
      <c r="AA5" s="10">
        <v>3.885381253035454E-05</v>
      </c>
      <c r="AB5" s="10">
        <v>0.00021609149578533384</v>
      </c>
      <c r="AC5" s="10">
        <v>0.0015510465182510859</v>
      </c>
      <c r="AD5" s="10">
        <v>0.003689053757711147</v>
      </c>
      <c r="AE5" s="10">
        <v>0.003452243958573073</v>
      </c>
      <c r="AF5" s="10">
        <v>0.0008459142342485794</v>
      </c>
      <c r="AG5" s="10">
        <v>0.0006519471488178024</v>
      </c>
      <c r="AH5" s="10">
        <v>0.0005971040453799074</v>
      </c>
      <c r="AI5" s="10">
        <v>4.451718882855985E-05</v>
      </c>
      <c r="AJ5" s="10">
        <v>0.00013483994498530243</v>
      </c>
      <c r="AK5" s="10">
        <v>4.8764867188884215E-05</v>
      </c>
      <c r="AL5" s="10">
        <v>0.00026652431435654467</v>
      </c>
      <c r="AM5" s="10">
        <v>0.006179084852750921</v>
      </c>
      <c r="AN5" s="10">
        <v>0.00031852446485923627</v>
      </c>
      <c r="AO5" s="10">
        <v>0.0004447034288167822</v>
      </c>
      <c r="AP5" s="10">
        <v>0.0008677049109732378</v>
      </c>
      <c r="AQ5" s="10">
        <v>0</v>
      </c>
      <c r="AR5" s="8">
        <v>0.0017376604984294124</v>
      </c>
    </row>
    <row r="6" spans="1:44" ht="12.75">
      <c r="A6" s="5" t="s">
        <v>47</v>
      </c>
      <c r="B6" s="10">
        <v>0.008937837808454715</v>
      </c>
      <c r="C6" s="10">
        <v>0.0030883782745933226</v>
      </c>
      <c r="D6" s="10">
        <v>0.006502022239120134</v>
      </c>
      <c r="E6" s="10">
        <v>0.0028659454037400583</v>
      </c>
      <c r="F6" s="10">
        <v>0.7403175418324991</v>
      </c>
      <c r="G6" s="10">
        <v>0.005523011715782315</v>
      </c>
      <c r="H6" s="10">
        <v>0.005640754450907809</v>
      </c>
      <c r="I6" s="10">
        <v>0.0012697393385679675</v>
      </c>
      <c r="J6" s="10">
        <v>0.003646990064289889</v>
      </c>
      <c r="K6" s="10">
        <v>0.0015280946569745848</v>
      </c>
      <c r="L6" s="10">
        <v>0.010556621880998079</v>
      </c>
      <c r="M6" s="10">
        <v>0.007526425780658449</v>
      </c>
      <c r="N6" s="10">
        <v>0.018056274511524258</v>
      </c>
      <c r="O6" s="10">
        <v>0.002497789038410975</v>
      </c>
      <c r="P6" s="10">
        <v>0.002762430939226519</v>
      </c>
      <c r="Q6" s="10">
        <v>0.006666913246906959</v>
      </c>
      <c r="R6" s="10">
        <v>0.0016941689957502206</v>
      </c>
      <c r="S6" s="10">
        <v>0.05803438686093085</v>
      </c>
      <c r="T6" s="10">
        <v>0.0032995522036295072</v>
      </c>
      <c r="U6" s="10">
        <v>0.0037348116464951796</v>
      </c>
      <c r="V6" s="10">
        <v>0.002563372258615779</v>
      </c>
      <c r="W6" s="10">
        <v>0.004358771895658578</v>
      </c>
      <c r="X6" s="10">
        <v>0.0018772451620379313</v>
      </c>
      <c r="Y6" s="10">
        <v>0.007174047069493488</v>
      </c>
      <c r="Z6" s="10">
        <v>0.00518100493883332</v>
      </c>
      <c r="AA6" s="10">
        <v>0.004965517241379311</v>
      </c>
      <c r="AB6" s="10">
        <v>0.014985283728133965</v>
      </c>
      <c r="AC6" s="10">
        <v>0.006585375471557576</v>
      </c>
      <c r="AD6" s="10">
        <v>0.005123685774598815</v>
      </c>
      <c r="AE6" s="10">
        <v>0.0425776754890679</v>
      </c>
      <c r="AF6" s="10">
        <v>0.158006827025467</v>
      </c>
      <c r="AG6" s="10">
        <v>0.02203581363004172</v>
      </c>
      <c r="AH6" s="10">
        <v>0.005933721450962831</v>
      </c>
      <c r="AI6" s="10">
        <v>0.0013355156648567957</v>
      </c>
      <c r="AJ6" s="10">
        <v>0.0005258757854426795</v>
      </c>
      <c r="AK6" s="10">
        <v>0.00046814272501328845</v>
      </c>
      <c r="AL6" s="10">
        <v>0.005195292794341342</v>
      </c>
      <c r="AM6" s="10">
        <v>0.001755148615761935</v>
      </c>
      <c r="AN6" s="10">
        <v>0.00554232568855071</v>
      </c>
      <c r="AO6" s="10">
        <v>0.006624547629270687</v>
      </c>
      <c r="AP6" s="10">
        <v>0.006613387283341479</v>
      </c>
      <c r="AQ6" s="10">
        <v>0.00035549235691432633</v>
      </c>
      <c r="AR6" s="8">
        <v>0.013070262415618705</v>
      </c>
    </row>
    <row r="7" spans="1:44" ht="12.75">
      <c r="A7" t="s">
        <v>44</v>
      </c>
      <c r="B7" s="7">
        <f aca="true" t="shared" si="0" ref="B7:K7">SUM(B4:B6)</f>
        <v>0.020414648771198883</v>
      </c>
      <c r="C7" s="7">
        <f t="shared" si="0"/>
        <v>0.1327893720569852</v>
      </c>
      <c r="D7" s="7">
        <f t="shared" si="0"/>
        <v>0.47508843852282867</v>
      </c>
      <c r="E7" s="7">
        <f t="shared" si="0"/>
        <v>0.2162594635905519</v>
      </c>
      <c r="F7" s="7">
        <f t="shared" si="0"/>
        <v>0.745709761629649</v>
      </c>
      <c r="G7" s="7">
        <f t="shared" si="0"/>
        <v>0.012635451237554472</v>
      </c>
      <c r="H7" s="7">
        <f t="shared" si="0"/>
        <v>0.03565133086550326</v>
      </c>
      <c r="I7" s="7">
        <f t="shared" si="0"/>
        <v>0.0034589450947196355</v>
      </c>
      <c r="J7" s="7">
        <f t="shared" si="0"/>
        <v>0.027375803623611923</v>
      </c>
      <c r="K7" s="7">
        <f t="shared" si="0"/>
        <v>0.0025786597336446117</v>
      </c>
      <c r="L7" s="7">
        <f aca="true" t="shared" si="1" ref="L7:U7">SUM(L4:L6)</f>
        <v>0.012750205648478199</v>
      </c>
      <c r="M7" s="7">
        <f t="shared" si="1"/>
        <v>0.0092830965866069</v>
      </c>
      <c r="N7" s="7">
        <f t="shared" si="1"/>
        <v>0.04135044789738281</v>
      </c>
      <c r="O7" s="7">
        <f t="shared" si="1"/>
        <v>0.0053660635322800385</v>
      </c>
      <c r="P7" s="7">
        <f t="shared" si="1"/>
        <v>0.004953324442750999</v>
      </c>
      <c r="Q7" s="7">
        <f t="shared" si="1"/>
        <v>0.022206091764836428</v>
      </c>
      <c r="R7" s="7">
        <f t="shared" si="1"/>
        <v>0.01720012251617597</v>
      </c>
      <c r="S7" s="7">
        <f t="shared" si="1"/>
        <v>0.1118709880538016</v>
      </c>
      <c r="T7" s="7">
        <f t="shared" si="1"/>
        <v>0.03555435843910979</v>
      </c>
      <c r="U7" s="7">
        <f t="shared" si="1"/>
        <v>0.013985830177182525</v>
      </c>
      <c r="V7" s="7">
        <f aca="true" t="shared" si="2" ref="V7:AE7">SUM(V4:V6)</f>
        <v>0.008306832599315962</v>
      </c>
      <c r="W7" s="7">
        <f t="shared" si="2"/>
        <v>0.005339584093138209</v>
      </c>
      <c r="X7" s="7">
        <f t="shared" si="2"/>
        <v>0.0027347522113639</v>
      </c>
      <c r="Y7" s="7">
        <f t="shared" si="2"/>
        <v>0.01127568619658316</v>
      </c>
      <c r="Z7" s="7">
        <f t="shared" si="2"/>
        <v>0.005430515091694981</v>
      </c>
      <c r="AA7" s="7">
        <f t="shared" si="2"/>
        <v>0.0075959203496843136</v>
      </c>
      <c r="AB7" s="7">
        <f t="shared" si="2"/>
        <v>0.026257321753181174</v>
      </c>
      <c r="AC7" s="7">
        <f t="shared" si="2"/>
        <v>0.022306152046373665</v>
      </c>
      <c r="AD7" s="7">
        <f t="shared" si="2"/>
        <v>0.045580308650831056</v>
      </c>
      <c r="AE7" s="7">
        <f t="shared" si="2"/>
        <v>0.07710011507479864</v>
      </c>
      <c r="AF7" s="7">
        <f aca="true" t="shared" si="3" ref="AF7:AR7">SUM(AF4:AF6)</f>
        <v>0.1593503378680971</v>
      </c>
      <c r="AG7" s="7">
        <f t="shared" si="3"/>
        <v>0.025273817802503474</v>
      </c>
      <c r="AH7" s="7">
        <f t="shared" si="3"/>
        <v>0.011320097526994078</v>
      </c>
      <c r="AI7" s="7">
        <f t="shared" si="3"/>
        <v>0.003957578086858971</v>
      </c>
      <c r="AJ7" s="7">
        <f t="shared" si="3"/>
        <v>0.004962109975459129</v>
      </c>
      <c r="AK7" s="7">
        <f t="shared" si="3"/>
        <v>0.0010533211312798991</v>
      </c>
      <c r="AL7" s="7">
        <f t="shared" si="3"/>
        <v>0.008436073950068023</v>
      </c>
      <c r="AM7" s="7">
        <f t="shared" si="3"/>
        <v>0.02466825314755815</v>
      </c>
      <c r="AN7" s="7">
        <f t="shared" si="3"/>
        <v>0.015225469420271493</v>
      </c>
      <c r="AO7" s="7">
        <f t="shared" si="3"/>
        <v>0.015533950806600014</v>
      </c>
      <c r="AP7" s="7">
        <f t="shared" si="3"/>
        <v>0.009366632777983833</v>
      </c>
      <c r="AQ7" s="7">
        <f t="shared" si="3"/>
        <v>0.001540466879962081</v>
      </c>
      <c r="AR7" s="9">
        <f t="shared" si="3"/>
        <v>0.02414338004924899</v>
      </c>
    </row>
    <row r="9" spans="1:44" ht="12.75">
      <c r="A9" s="5" t="s">
        <v>45</v>
      </c>
      <c r="B9" s="11">
        <f>B4*100</f>
        <v>1.1108007550016352</v>
      </c>
      <c r="C9" s="11">
        <f aca="true" t="shared" si="4" ref="C9:R11">C4*100</f>
        <v>12.568664671294696</v>
      </c>
      <c r="D9" s="11">
        <f t="shared" si="4"/>
        <v>13.58812444209343</v>
      </c>
      <c r="E9" s="11">
        <f t="shared" si="4"/>
        <v>21.339351818681184</v>
      </c>
      <c r="F9" s="11">
        <f t="shared" si="4"/>
        <v>0.44079257071939076</v>
      </c>
      <c r="G9" s="11">
        <f t="shared" si="4"/>
        <v>0.5637970330680951</v>
      </c>
      <c r="H9" s="11">
        <f t="shared" si="4"/>
        <v>2.652917327692579</v>
      </c>
      <c r="I9" s="11">
        <f t="shared" si="4"/>
        <v>0.17513646049213344</v>
      </c>
      <c r="J9" s="11">
        <f t="shared" si="4"/>
        <v>2.281706604324956</v>
      </c>
      <c r="K9" s="11">
        <f t="shared" si="4"/>
        <v>0.09232238552554783</v>
      </c>
      <c r="L9" s="11">
        <f t="shared" si="4"/>
        <v>0.06854949273375377</v>
      </c>
      <c r="M9" s="11">
        <f t="shared" si="4"/>
        <v>0.16506648090377687</v>
      </c>
      <c r="N9" s="11">
        <f t="shared" si="4"/>
        <v>1.8740623108170948</v>
      </c>
      <c r="O9" s="11">
        <f t="shared" si="4"/>
        <v>0.27487630566245186</v>
      </c>
      <c r="P9" s="11">
        <f t="shared" si="4"/>
        <v>0.19051247856734613</v>
      </c>
      <c r="Q9" s="11">
        <f t="shared" si="4"/>
        <v>1.203003347326762</v>
      </c>
      <c r="R9" s="11">
        <f t="shared" si="4"/>
        <v>1.1830468241510013</v>
      </c>
      <c r="S9" s="11">
        <f aca="true" t="shared" si="5" ref="S9:AH11">S4*100</f>
        <v>4.544102985675056</v>
      </c>
      <c r="T9" s="11">
        <f t="shared" si="5"/>
        <v>2.9594963132554457</v>
      </c>
      <c r="U9" s="11">
        <f t="shared" si="5"/>
        <v>0.9326276299597367</v>
      </c>
      <c r="V9" s="11">
        <f t="shared" si="5"/>
        <v>0.5192653078518281</v>
      </c>
      <c r="W9" s="11">
        <f t="shared" si="5"/>
        <v>0.0354083825804921</v>
      </c>
      <c r="X9" s="11">
        <f t="shared" si="5"/>
        <v>0.0463517323959983</v>
      </c>
      <c r="Y9" s="11">
        <f t="shared" si="5"/>
        <v>0.37042132240921627</v>
      </c>
      <c r="Z9" s="11">
        <f t="shared" si="5"/>
        <v>0.022015601723087763</v>
      </c>
      <c r="AA9" s="11">
        <f t="shared" si="5"/>
        <v>0.25915492957746483</v>
      </c>
      <c r="AB9" s="11">
        <f t="shared" si="5"/>
        <v>1.1055946529261875</v>
      </c>
      <c r="AC9" s="11">
        <f t="shared" si="5"/>
        <v>1.4169730056565002</v>
      </c>
      <c r="AD9" s="11">
        <f t="shared" si="5"/>
        <v>3.6767569118521095</v>
      </c>
      <c r="AE9" s="11">
        <f t="shared" si="5"/>
        <v>3.1070195627157657</v>
      </c>
      <c r="AF9" s="11">
        <f t="shared" si="5"/>
        <v>0.049759660838151726</v>
      </c>
      <c r="AG9" s="11">
        <f t="shared" si="5"/>
        <v>0.258605702364395</v>
      </c>
      <c r="AH9" s="11">
        <f t="shared" si="5"/>
        <v>0.4789272030651341</v>
      </c>
      <c r="AI9" s="11">
        <f aca="true" t="shared" si="6" ref="AI9:AR11">AI4*100</f>
        <v>0.2577545233173616</v>
      </c>
      <c r="AJ9" s="11">
        <f t="shared" si="6"/>
        <v>0.4301394245031147</v>
      </c>
      <c r="AK9" s="11">
        <f t="shared" si="6"/>
        <v>0.05364135390777264</v>
      </c>
      <c r="AL9" s="11">
        <f t="shared" si="6"/>
        <v>0.2974256841370136</v>
      </c>
      <c r="AM9" s="11">
        <f t="shared" si="6"/>
        <v>1.6734019679045296</v>
      </c>
      <c r="AN9" s="11">
        <f t="shared" si="6"/>
        <v>0.9364619266861546</v>
      </c>
      <c r="AO9" s="11">
        <f t="shared" si="6"/>
        <v>0.8464699748512544</v>
      </c>
      <c r="AP9" s="11">
        <f t="shared" si="6"/>
        <v>0.18855405836691175</v>
      </c>
      <c r="AQ9" s="11">
        <f t="shared" si="6"/>
        <v>0.11849745230477546</v>
      </c>
      <c r="AR9" s="11">
        <f t="shared" si="6"/>
        <v>0.9335457135200872</v>
      </c>
    </row>
    <row r="10" spans="1:44" ht="12.75">
      <c r="A10" s="5" t="s">
        <v>46</v>
      </c>
      <c r="B10" s="11">
        <f>B5*100</f>
        <v>0.03688034127278156</v>
      </c>
      <c r="C10" s="11">
        <f t="shared" si="4"/>
        <v>0.4014347069444936</v>
      </c>
      <c r="D10" s="11">
        <f t="shared" si="4"/>
        <v>33.270517186277424</v>
      </c>
      <c r="E10" s="11">
        <f t="shared" si="4"/>
        <v>0</v>
      </c>
      <c r="F10" s="11">
        <f t="shared" si="4"/>
        <v>0.09842940899559209</v>
      </c>
      <c r="G10" s="11">
        <f t="shared" si="4"/>
        <v>0.14744691910912064</v>
      </c>
      <c r="H10" s="11">
        <f t="shared" si="4"/>
        <v>0.3481403137669663</v>
      </c>
      <c r="I10" s="11">
        <f t="shared" si="4"/>
        <v>0.04378411512303336</v>
      </c>
      <c r="J10" s="11">
        <f t="shared" si="4"/>
        <v>0.09117475160724722</v>
      </c>
      <c r="K10" s="11">
        <f t="shared" si="4"/>
        <v>0.012734122141454874</v>
      </c>
      <c r="L10" s="11">
        <f t="shared" si="4"/>
        <v>0.1508088840142583</v>
      </c>
      <c r="M10" s="11">
        <f t="shared" si="4"/>
        <v>0.010600599691068238</v>
      </c>
      <c r="N10" s="11">
        <f t="shared" si="4"/>
        <v>0.45535502776876047</v>
      </c>
      <c r="O10" s="11">
        <f t="shared" si="4"/>
        <v>0.011951143724454428</v>
      </c>
      <c r="P10" s="11">
        <f t="shared" si="4"/>
        <v>0.028576871785101918</v>
      </c>
      <c r="Q10" s="11">
        <f t="shared" si="4"/>
        <v>0.35091450446618466</v>
      </c>
      <c r="R10" s="11">
        <f t="shared" si="4"/>
        <v>0.3675485278915733</v>
      </c>
      <c r="S10" s="11">
        <f t="shared" si="5"/>
        <v>0.8395571336120196</v>
      </c>
      <c r="T10" s="11">
        <f t="shared" si="5"/>
        <v>0.2659843102925827</v>
      </c>
      <c r="U10" s="11">
        <f t="shared" si="5"/>
        <v>0.09247422310899774</v>
      </c>
      <c r="V10" s="11">
        <f t="shared" si="5"/>
        <v>0.055080726218190275</v>
      </c>
      <c r="W10" s="11">
        <f t="shared" si="5"/>
        <v>0.06267283716747102</v>
      </c>
      <c r="X10" s="11">
        <f t="shared" si="5"/>
        <v>0.039398972536598555</v>
      </c>
      <c r="Y10" s="11">
        <f t="shared" si="5"/>
        <v>0.03974259029975086</v>
      </c>
      <c r="Z10" s="11">
        <f t="shared" si="5"/>
        <v>0.0029354135630783687</v>
      </c>
      <c r="AA10" s="11">
        <f t="shared" si="5"/>
        <v>0.003885381253035454</v>
      </c>
      <c r="AB10" s="11">
        <f t="shared" si="5"/>
        <v>0.021609149578533382</v>
      </c>
      <c r="AC10" s="11">
        <f t="shared" si="5"/>
        <v>0.15510465182510857</v>
      </c>
      <c r="AD10" s="11">
        <f t="shared" si="5"/>
        <v>0.3689053757711147</v>
      </c>
      <c r="AE10" s="11">
        <f t="shared" si="5"/>
        <v>0.3452243958573073</v>
      </c>
      <c r="AF10" s="11">
        <f t="shared" si="5"/>
        <v>0.08459142342485794</v>
      </c>
      <c r="AG10" s="11">
        <f t="shared" si="5"/>
        <v>0.06519471488178025</v>
      </c>
      <c r="AH10" s="11">
        <f t="shared" si="5"/>
        <v>0.05971040453799074</v>
      </c>
      <c r="AI10" s="11">
        <f t="shared" si="6"/>
        <v>0.004451718882855985</v>
      </c>
      <c r="AJ10" s="11">
        <f t="shared" si="6"/>
        <v>0.013483994498530242</v>
      </c>
      <c r="AK10" s="11">
        <f t="shared" si="6"/>
        <v>0.004876486718888421</v>
      </c>
      <c r="AL10" s="11">
        <f t="shared" si="6"/>
        <v>0.026652431435654468</v>
      </c>
      <c r="AM10" s="11">
        <f t="shared" si="6"/>
        <v>0.6179084852750921</v>
      </c>
      <c r="AN10" s="11">
        <f t="shared" si="6"/>
        <v>0.03185244648592363</v>
      </c>
      <c r="AO10" s="11">
        <f t="shared" si="6"/>
        <v>0.04447034288167822</v>
      </c>
      <c r="AP10" s="11">
        <f t="shared" si="6"/>
        <v>0.08677049109732378</v>
      </c>
      <c r="AQ10" s="11">
        <f t="shared" si="6"/>
        <v>0</v>
      </c>
      <c r="AR10" s="11">
        <f t="shared" si="6"/>
        <v>0.17376604984294122</v>
      </c>
    </row>
    <row r="11" spans="1:44" ht="12.75">
      <c r="A11" s="5" t="s">
        <v>47</v>
      </c>
      <c r="B11" s="11">
        <f>B6*100</f>
        <v>0.8937837808454715</v>
      </c>
      <c r="C11" s="11">
        <f t="shared" si="4"/>
        <v>0.30883782745933225</v>
      </c>
      <c r="D11" s="11">
        <f t="shared" si="4"/>
        <v>0.6502022239120134</v>
      </c>
      <c r="E11" s="11">
        <f t="shared" si="4"/>
        <v>0.28659454037400584</v>
      </c>
      <c r="F11" s="11">
        <f t="shared" si="4"/>
        <v>74.03175418324992</v>
      </c>
      <c r="G11" s="11">
        <f t="shared" si="4"/>
        <v>0.5523011715782314</v>
      </c>
      <c r="H11" s="11">
        <f t="shared" si="4"/>
        <v>0.5640754450907809</v>
      </c>
      <c r="I11" s="11">
        <f t="shared" si="4"/>
        <v>0.12697393385679676</v>
      </c>
      <c r="J11" s="11">
        <f t="shared" si="4"/>
        <v>0.3646990064289889</v>
      </c>
      <c r="K11" s="11">
        <f t="shared" si="4"/>
        <v>0.15280946569745849</v>
      </c>
      <c r="L11" s="11">
        <f t="shared" si="4"/>
        <v>1.0556621880998078</v>
      </c>
      <c r="M11" s="11">
        <f t="shared" si="4"/>
        <v>0.7526425780658449</v>
      </c>
      <c r="N11" s="11">
        <f t="shared" si="4"/>
        <v>1.8056274511524257</v>
      </c>
      <c r="O11" s="11">
        <f t="shared" si="4"/>
        <v>0.24977890384109752</v>
      </c>
      <c r="P11" s="11">
        <f t="shared" si="4"/>
        <v>0.2762430939226519</v>
      </c>
      <c r="Q11" s="11">
        <f t="shared" si="4"/>
        <v>0.6666913246906959</v>
      </c>
      <c r="R11" s="11">
        <f t="shared" si="4"/>
        <v>0.16941689957502207</v>
      </c>
      <c r="S11" s="11">
        <f t="shared" si="5"/>
        <v>5.803438686093084</v>
      </c>
      <c r="T11" s="11">
        <f t="shared" si="5"/>
        <v>0.3299552203629507</v>
      </c>
      <c r="U11" s="11">
        <f t="shared" si="5"/>
        <v>0.37348116464951797</v>
      </c>
      <c r="V11" s="11">
        <f t="shared" si="5"/>
        <v>0.25633722586157787</v>
      </c>
      <c r="W11" s="11">
        <f t="shared" si="5"/>
        <v>0.43587718956585775</v>
      </c>
      <c r="X11" s="11">
        <f t="shared" si="5"/>
        <v>0.18772451620379313</v>
      </c>
      <c r="Y11" s="11">
        <f t="shared" si="5"/>
        <v>0.7174047069493488</v>
      </c>
      <c r="Z11" s="11">
        <f t="shared" si="5"/>
        <v>0.518100493883332</v>
      </c>
      <c r="AA11" s="11">
        <f t="shared" si="5"/>
        <v>0.4965517241379311</v>
      </c>
      <c r="AB11" s="11">
        <f t="shared" si="5"/>
        <v>1.4985283728133965</v>
      </c>
      <c r="AC11" s="11">
        <f t="shared" si="5"/>
        <v>0.6585375471557576</v>
      </c>
      <c r="AD11" s="11">
        <f t="shared" si="5"/>
        <v>0.5123685774598815</v>
      </c>
      <c r="AE11" s="11">
        <f t="shared" si="5"/>
        <v>4.25776754890679</v>
      </c>
      <c r="AF11" s="11">
        <f t="shared" si="5"/>
        <v>15.8006827025467</v>
      </c>
      <c r="AG11" s="11">
        <f t="shared" si="5"/>
        <v>2.2035813630041723</v>
      </c>
      <c r="AH11" s="11">
        <f t="shared" si="5"/>
        <v>0.5933721450962831</v>
      </c>
      <c r="AI11" s="11">
        <f t="shared" si="6"/>
        <v>0.13355156648567956</v>
      </c>
      <c r="AJ11" s="11">
        <f t="shared" si="6"/>
        <v>0.05258757854426795</v>
      </c>
      <c r="AK11" s="11">
        <f t="shared" si="6"/>
        <v>0.046814272501328844</v>
      </c>
      <c r="AL11" s="11">
        <f t="shared" si="6"/>
        <v>0.5195292794341342</v>
      </c>
      <c r="AM11" s="11">
        <f t="shared" si="6"/>
        <v>0.1755148615761935</v>
      </c>
      <c r="AN11" s="11">
        <f t="shared" si="6"/>
        <v>0.554232568855071</v>
      </c>
      <c r="AO11" s="11">
        <f t="shared" si="6"/>
        <v>0.6624547629270687</v>
      </c>
      <c r="AP11" s="11">
        <f t="shared" si="6"/>
        <v>0.6613387283341479</v>
      </c>
      <c r="AQ11" s="11">
        <f t="shared" si="6"/>
        <v>0.03554923569143263</v>
      </c>
      <c r="AR11" s="11">
        <f t="shared" si="6"/>
        <v>1.3070262415618705</v>
      </c>
    </row>
    <row r="12" spans="2:3" ht="12.75">
      <c r="B12" s="11"/>
      <c r="C12" s="10"/>
    </row>
    <row r="13" spans="1:44" ht="12.75">
      <c r="A13" s="11" t="str">
        <f aca="true" t="shared" si="7" ref="A13:AR13">A3</f>
        <v>Branchen</v>
      </c>
      <c r="B13" s="11" t="str">
        <f t="shared" si="7"/>
        <v> 1 PrimSekt</v>
      </c>
      <c r="C13" s="11" t="str">
        <f t="shared" si="7"/>
        <v> 2 Elektrizit</v>
      </c>
      <c r="D13" s="11" t="str">
        <f t="shared" si="7"/>
        <v> 3 Gas</v>
      </c>
      <c r="E13" s="11" t="str">
        <f t="shared" si="7"/>
        <v> 4 Wasser</v>
      </c>
      <c r="F13" s="11" t="str">
        <f t="shared" si="7"/>
        <v> 5 Oel</v>
      </c>
      <c r="G13" s="11" t="str">
        <f t="shared" si="7"/>
        <v> 6 Nahrmit</v>
      </c>
      <c r="H13" s="11" t="str">
        <f t="shared" si="7"/>
        <v> 7 Getränk</v>
      </c>
      <c r="I13" s="11" t="str">
        <f t="shared" si="7"/>
        <v> 8 Tabak</v>
      </c>
      <c r="J13" s="11" t="str">
        <f t="shared" si="7"/>
        <v> 9 Textil</v>
      </c>
      <c r="K13" s="11" t="str">
        <f t="shared" si="7"/>
        <v>10 Bekl</v>
      </c>
      <c r="L13" s="11" t="str">
        <f t="shared" si="7"/>
        <v>11 Holzb</v>
      </c>
      <c r="M13" s="11" t="str">
        <f t="shared" si="7"/>
        <v>12 AnHolz</v>
      </c>
      <c r="N13" s="11" t="str">
        <f t="shared" si="7"/>
        <v>13 Papier</v>
      </c>
      <c r="O13" s="11" t="str">
        <f t="shared" si="7"/>
        <v>14 GraphG</v>
      </c>
      <c r="P13" s="11" t="str">
        <f t="shared" si="7"/>
        <v>15 LederS</v>
      </c>
      <c r="Q13" s="11" t="str">
        <f t="shared" si="7"/>
        <v>16 Chemie</v>
      </c>
      <c r="R13" s="11" t="str">
        <f t="shared" si="7"/>
        <v>17 KunstK</v>
      </c>
      <c r="S13" s="11" t="str">
        <f t="shared" si="7"/>
        <v>18 SteineEB</v>
      </c>
      <c r="T13" s="11" t="str">
        <f t="shared" si="7"/>
        <v>19 NE-Met</v>
      </c>
      <c r="U13" s="11" t="str">
        <f t="shared" si="7"/>
        <v>20 Eisenm</v>
      </c>
      <c r="V13" s="11" t="str">
        <f t="shared" si="7"/>
        <v>21 MaschF</v>
      </c>
      <c r="W13" s="11" t="str">
        <f t="shared" si="7"/>
        <v>22 ElektrUO</v>
      </c>
      <c r="X13" s="11" t="str">
        <f t="shared" si="7"/>
        <v>23 Sonst Ind</v>
      </c>
      <c r="Y13" s="11" t="str">
        <f t="shared" si="7"/>
        <v>24 BauhptG</v>
      </c>
      <c r="Z13" s="11" t="str">
        <f t="shared" si="7"/>
        <v>25 Ausbaug</v>
      </c>
      <c r="AA13" s="11" t="str">
        <f t="shared" si="7"/>
        <v>26 Grossha</v>
      </c>
      <c r="AB13" s="11" t="str">
        <f t="shared" si="7"/>
        <v>27 Detailha</v>
      </c>
      <c r="AC13" s="11" t="str">
        <f t="shared" si="7"/>
        <v>28 Gastgew</v>
      </c>
      <c r="AD13" s="11" t="str">
        <f t="shared" si="7"/>
        <v>29 BahnSch</v>
      </c>
      <c r="AE13" s="11" t="str">
        <f t="shared" si="7"/>
        <v>30 OevAgg</v>
      </c>
      <c r="AF13" s="11" t="str">
        <f t="shared" si="7"/>
        <v>31 Strasstr</v>
      </c>
      <c r="AG13" s="11" t="str">
        <f t="shared" si="7"/>
        <v>32 LuftRohr</v>
      </c>
      <c r="AH13" s="11" t="str">
        <f t="shared" si="7"/>
        <v>33 PTTNa</v>
      </c>
      <c r="AI13" s="11" t="str">
        <f t="shared" si="7"/>
        <v>34 Banken</v>
      </c>
      <c r="AJ13" s="11" t="str">
        <f t="shared" si="7"/>
        <v>35 Versich</v>
      </c>
      <c r="AK13" s="11" t="str">
        <f t="shared" si="7"/>
        <v>36 Immob</v>
      </c>
      <c r="AL13" s="11" t="str">
        <f t="shared" si="7"/>
        <v>37 LeasBer</v>
      </c>
      <c r="AM13" s="11" t="str">
        <f t="shared" si="7"/>
        <v>38 UnterWi</v>
      </c>
      <c r="AN13" s="11" t="str">
        <f t="shared" si="7"/>
        <v>39 Gesund</v>
      </c>
      <c r="AO13" s="11" t="str">
        <f t="shared" si="7"/>
        <v>40 NmDien</v>
      </c>
      <c r="AP13" s="11" t="str">
        <f t="shared" si="7"/>
        <v>41 Staat</v>
      </c>
      <c r="AQ13" s="11" t="str">
        <f t="shared" si="7"/>
        <v>42 Sozver</v>
      </c>
      <c r="AR13" s="11" t="str">
        <f t="shared" si="7"/>
        <v>Total</v>
      </c>
    </row>
    <row r="14" spans="1:44" ht="12.75">
      <c r="A14" t="s">
        <v>48</v>
      </c>
      <c r="B14" s="10">
        <f aca="true" t="shared" si="8" ref="B14:AR14">B4</f>
        <v>0.011108007550016352</v>
      </c>
      <c r="C14" s="10">
        <f t="shared" si="8"/>
        <v>0.12568664671294696</v>
      </c>
      <c r="D14" s="10">
        <f t="shared" si="8"/>
        <v>0.1358812444209343</v>
      </c>
      <c r="E14" s="10">
        <f t="shared" si="8"/>
        <v>0.21339351818681185</v>
      </c>
      <c r="F14" s="10">
        <f t="shared" si="8"/>
        <v>0.004407925707193908</v>
      </c>
      <c r="G14" s="10">
        <f t="shared" si="8"/>
        <v>0.005637970330680951</v>
      </c>
      <c r="H14" s="10">
        <f t="shared" si="8"/>
        <v>0.026529173276925788</v>
      </c>
      <c r="I14" s="10">
        <f t="shared" si="8"/>
        <v>0.0017513646049213344</v>
      </c>
      <c r="J14" s="10">
        <f t="shared" si="8"/>
        <v>0.02281706604324956</v>
      </c>
      <c r="K14" s="10">
        <f t="shared" si="8"/>
        <v>0.0009232238552554783</v>
      </c>
      <c r="L14" s="10">
        <f t="shared" si="8"/>
        <v>0.0006854949273375376</v>
      </c>
      <c r="M14" s="10">
        <f t="shared" si="8"/>
        <v>0.0016506648090377687</v>
      </c>
      <c r="N14" s="10">
        <f t="shared" si="8"/>
        <v>0.01874062310817095</v>
      </c>
      <c r="O14" s="10">
        <f t="shared" si="8"/>
        <v>0.0027487630566245184</v>
      </c>
      <c r="P14" s="10">
        <f t="shared" si="8"/>
        <v>0.0019051247856734612</v>
      </c>
      <c r="Q14" s="10">
        <f t="shared" si="8"/>
        <v>0.01203003347326762</v>
      </c>
      <c r="R14" s="10">
        <f t="shared" si="8"/>
        <v>0.011830468241510014</v>
      </c>
      <c r="S14" s="10">
        <f t="shared" si="8"/>
        <v>0.04544102985675056</v>
      </c>
      <c r="T14" s="10">
        <f t="shared" si="8"/>
        <v>0.02959496313255446</v>
      </c>
      <c r="U14" s="10">
        <f t="shared" si="8"/>
        <v>0.009326276299597367</v>
      </c>
      <c r="V14" s="10">
        <f t="shared" si="8"/>
        <v>0.005192653078518281</v>
      </c>
      <c r="W14" s="10">
        <f t="shared" si="8"/>
        <v>0.000354083825804921</v>
      </c>
      <c r="X14" s="10">
        <f t="shared" si="8"/>
        <v>0.000463517323959983</v>
      </c>
      <c r="Y14" s="10">
        <f t="shared" si="8"/>
        <v>0.003704213224092163</v>
      </c>
      <c r="Z14" s="10">
        <f t="shared" si="8"/>
        <v>0.00022015601723087764</v>
      </c>
      <c r="AA14" s="10">
        <f t="shared" si="8"/>
        <v>0.002591549295774648</v>
      </c>
      <c r="AB14" s="10">
        <f t="shared" si="8"/>
        <v>0.011055946529261874</v>
      </c>
      <c r="AC14" s="10">
        <f t="shared" si="8"/>
        <v>0.014169730056565003</v>
      </c>
      <c r="AD14" s="10">
        <f t="shared" si="8"/>
        <v>0.036767569118521096</v>
      </c>
      <c r="AE14" s="10">
        <f t="shared" si="8"/>
        <v>0.031070195627157658</v>
      </c>
      <c r="AF14" s="10">
        <f t="shared" si="8"/>
        <v>0.0004975966083815173</v>
      </c>
      <c r="AG14" s="10">
        <f t="shared" si="8"/>
        <v>0.00258605702364395</v>
      </c>
      <c r="AH14" s="10">
        <f t="shared" si="8"/>
        <v>0.004789272030651341</v>
      </c>
      <c r="AI14" s="10">
        <f t="shared" si="8"/>
        <v>0.002577545233173616</v>
      </c>
      <c r="AJ14" s="10">
        <f t="shared" si="8"/>
        <v>0.004301394245031147</v>
      </c>
      <c r="AK14" s="10">
        <f t="shared" si="8"/>
        <v>0.0005364135390777264</v>
      </c>
      <c r="AL14" s="10">
        <f t="shared" si="8"/>
        <v>0.0029742568413701357</v>
      </c>
      <c r="AM14" s="10">
        <f t="shared" si="8"/>
        <v>0.016734019679045295</v>
      </c>
      <c r="AN14" s="10">
        <f t="shared" si="8"/>
        <v>0.009364619266861546</v>
      </c>
      <c r="AO14" s="10">
        <f t="shared" si="8"/>
        <v>0.008464699748512544</v>
      </c>
      <c r="AP14" s="10">
        <f t="shared" si="8"/>
        <v>0.0018855405836691174</v>
      </c>
      <c r="AQ14" s="10">
        <f t="shared" si="8"/>
        <v>0.0011849745230477545</v>
      </c>
      <c r="AR14" s="10">
        <f t="shared" si="8"/>
        <v>0.009335457135200871</v>
      </c>
    </row>
    <row r="15" spans="1:44" ht="12.75">
      <c r="A15" t="s">
        <v>49</v>
      </c>
      <c r="B15" s="10">
        <f aca="true" t="shared" si="9" ref="B15:AR15">B5</f>
        <v>0.0003688034127278156</v>
      </c>
      <c r="C15" s="10">
        <f t="shared" si="9"/>
        <v>0.0040143470694449365</v>
      </c>
      <c r="D15" s="10">
        <f t="shared" si="9"/>
        <v>0.33270517186277426</v>
      </c>
      <c r="E15" s="10">
        <f t="shared" si="9"/>
        <v>0</v>
      </c>
      <c r="F15" s="10">
        <f t="shared" si="9"/>
        <v>0.0009842940899559209</v>
      </c>
      <c r="G15" s="10">
        <f t="shared" si="9"/>
        <v>0.0014744691910912064</v>
      </c>
      <c r="H15" s="10">
        <f t="shared" si="9"/>
        <v>0.003481403137669663</v>
      </c>
      <c r="I15" s="10">
        <f t="shared" si="9"/>
        <v>0.0004378411512303336</v>
      </c>
      <c r="J15" s="10">
        <f t="shared" si="9"/>
        <v>0.0009117475160724723</v>
      </c>
      <c r="K15" s="10">
        <f t="shared" si="9"/>
        <v>0.00012734122141454875</v>
      </c>
      <c r="L15" s="10">
        <f t="shared" si="9"/>
        <v>0.001508088840142583</v>
      </c>
      <c r="M15" s="10">
        <f t="shared" si="9"/>
        <v>0.00010600599691068238</v>
      </c>
      <c r="N15" s="10">
        <f t="shared" si="9"/>
        <v>0.004553550277687605</v>
      </c>
      <c r="O15" s="10">
        <f t="shared" si="9"/>
        <v>0.00011951143724454428</v>
      </c>
      <c r="P15" s="10">
        <f t="shared" si="9"/>
        <v>0.0002857687178510192</v>
      </c>
      <c r="Q15" s="10">
        <f t="shared" si="9"/>
        <v>0.0035091450446618467</v>
      </c>
      <c r="R15" s="10">
        <f t="shared" si="9"/>
        <v>0.0036754852789157326</v>
      </c>
      <c r="S15" s="10">
        <f t="shared" si="9"/>
        <v>0.008395571336120195</v>
      </c>
      <c r="T15" s="10">
        <f t="shared" si="9"/>
        <v>0.002659843102925827</v>
      </c>
      <c r="U15" s="10">
        <f t="shared" si="9"/>
        <v>0.0009247422310899773</v>
      </c>
      <c r="V15" s="10">
        <f t="shared" si="9"/>
        <v>0.0005508072621819028</v>
      </c>
      <c r="W15" s="10">
        <f t="shared" si="9"/>
        <v>0.0006267283716747102</v>
      </c>
      <c r="X15" s="10">
        <f t="shared" si="9"/>
        <v>0.00039398972536598556</v>
      </c>
      <c r="Y15" s="10">
        <f t="shared" si="9"/>
        <v>0.00039742590299750855</v>
      </c>
      <c r="Z15" s="10">
        <f t="shared" si="9"/>
        <v>2.9354135630783687E-05</v>
      </c>
      <c r="AA15" s="10">
        <f t="shared" si="9"/>
        <v>3.885381253035454E-05</v>
      </c>
      <c r="AB15" s="10">
        <f t="shared" si="9"/>
        <v>0.00021609149578533384</v>
      </c>
      <c r="AC15" s="10">
        <f t="shared" si="9"/>
        <v>0.0015510465182510859</v>
      </c>
      <c r="AD15" s="10">
        <f t="shared" si="9"/>
        <v>0.003689053757711147</v>
      </c>
      <c r="AE15" s="10">
        <f t="shared" si="9"/>
        <v>0.003452243958573073</v>
      </c>
      <c r="AF15" s="10">
        <f t="shared" si="9"/>
        <v>0.0008459142342485794</v>
      </c>
      <c r="AG15" s="10">
        <f t="shared" si="9"/>
        <v>0.0006519471488178024</v>
      </c>
      <c r="AH15" s="10">
        <f t="shared" si="9"/>
        <v>0.0005971040453799074</v>
      </c>
      <c r="AI15" s="10">
        <f t="shared" si="9"/>
        <v>4.451718882855985E-05</v>
      </c>
      <c r="AJ15" s="10">
        <f t="shared" si="9"/>
        <v>0.00013483994498530243</v>
      </c>
      <c r="AK15" s="10">
        <f t="shared" si="9"/>
        <v>4.8764867188884215E-05</v>
      </c>
      <c r="AL15" s="10">
        <f t="shared" si="9"/>
        <v>0.00026652431435654467</v>
      </c>
      <c r="AM15" s="10">
        <f t="shared" si="9"/>
        <v>0.006179084852750921</v>
      </c>
      <c r="AN15" s="10">
        <f t="shared" si="9"/>
        <v>0.00031852446485923627</v>
      </c>
      <c r="AO15" s="10">
        <f t="shared" si="9"/>
        <v>0.0004447034288167822</v>
      </c>
      <c r="AP15" s="10">
        <f t="shared" si="9"/>
        <v>0.0008677049109732378</v>
      </c>
      <c r="AQ15" s="10">
        <f t="shared" si="9"/>
        <v>0</v>
      </c>
      <c r="AR15" s="10">
        <f t="shared" si="9"/>
        <v>0.0017376604984294124</v>
      </c>
    </row>
    <row r="16" spans="1:44" ht="12.75">
      <c r="A16" t="s">
        <v>50</v>
      </c>
      <c r="B16" s="10">
        <f aca="true" t="shared" si="10" ref="B16:AR16">B6</f>
        <v>0.008937837808454715</v>
      </c>
      <c r="C16" s="10">
        <f t="shared" si="10"/>
        <v>0.0030883782745933226</v>
      </c>
      <c r="D16" s="10">
        <f t="shared" si="10"/>
        <v>0.006502022239120134</v>
      </c>
      <c r="E16" s="10">
        <f t="shared" si="10"/>
        <v>0.0028659454037400583</v>
      </c>
      <c r="F16" s="10">
        <f t="shared" si="10"/>
        <v>0.7403175418324991</v>
      </c>
      <c r="G16" s="10">
        <f t="shared" si="10"/>
        <v>0.005523011715782315</v>
      </c>
      <c r="H16" s="10">
        <f t="shared" si="10"/>
        <v>0.005640754450907809</v>
      </c>
      <c r="I16" s="10">
        <f t="shared" si="10"/>
        <v>0.0012697393385679675</v>
      </c>
      <c r="J16" s="10">
        <f t="shared" si="10"/>
        <v>0.003646990064289889</v>
      </c>
      <c r="K16" s="10">
        <f t="shared" si="10"/>
        <v>0.0015280946569745848</v>
      </c>
      <c r="L16" s="10">
        <f t="shared" si="10"/>
        <v>0.010556621880998079</v>
      </c>
      <c r="M16" s="10">
        <f t="shared" si="10"/>
        <v>0.007526425780658449</v>
      </c>
      <c r="N16" s="10">
        <f t="shared" si="10"/>
        <v>0.018056274511524258</v>
      </c>
      <c r="O16" s="10">
        <f t="shared" si="10"/>
        <v>0.002497789038410975</v>
      </c>
      <c r="P16" s="10">
        <f t="shared" si="10"/>
        <v>0.002762430939226519</v>
      </c>
      <c r="Q16" s="10">
        <f t="shared" si="10"/>
        <v>0.006666913246906959</v>
      </c>
      <c r="R16" s="10">
        <f t="shared" si="10"/>
        <v>0.0016941689957502206</v>
      </c>
      <c r="S16" s="10">
        <f t="shared" si="10"/>
        <v>0.05803438686093085</v>
      </c>
      <c r="T16" s="10">
        <f t="shared" si="10"/>
        <v>0.0032995522036295072</v>
      </c>
      <c r="U16" s="10">
        <f t="shared" si="10"/>
        <v>0.0037348116464951796</v>
      </c>
      <c r="V16" s="10">
        <f t="shared" si="10"/>
        <v>0.002563372258615779</v>
      </c>
      <c r="W16" s="10">
        <f t="shared" si="10"/>
        <v>0.004358771895658578</v>
      </c>
      <c r="X16" s="10">
        <f t="shared" si="10"/>
        <v>0.0018772451620379313</v>
      </c>
      <c r="Y16" s="10">
        <f t="shared" si="10"/>
        <v>0.007174047069493488</v>
      </c>
      <c r="Z16" s="10">
        <f t="shared" si="10"/>
        <v>0.00518100493883332</v>
      </c>
      <c r="AA16" s="10">
        <f t="shared" si="10"/>
        <v>0.004965517241379311</v>
      </c>
      <c r="AB16" s="10">
        <f t="shared" si="10"/>
        <v>0.014985283728133965</v>
      </c>
      <c r="AC16" s="10">
        <f t="shared" si="10"/>
        <v>0.006585375471557576</v>
      </c>
      <c r="AD16" s="10">
        <f t="shared" si="10"/>
        <v>0.005123685774598815</v>
      </c>
      <c r="AE16" s="10">
        <f t="shared" si="10"/>
        <v>0.0425776754890679</v>
      </c>
      <c r="AF16" s="10">
        <f t="shared" si="10"/>
        <v>0.158006827025467</v>
      </c>
      <c r="AG16" s="10">
        <f t="shared" si="10"/>
        <v>0.02203581363004172</v>
      </c>
      <c r="AH16" s="10">
        <f t="shared" si="10"/>
        <v>0.005933721450962831</v>
      </c>
      <c r="AI16" s="10">
        <f t="shared" si="10"/>
        <v>0.0013355156648567957</v>
      </c>
      <c r="AJ16" s="10">
        <f t="shared" si="10"/>
        <v>0.0005258757854426795</v>
      </c>
      <c r="AK16" s="10">
        <f t="shared" si="10"/>
        <v>0.00046814272501328845</v>
      </c>
      <c r="AL16" s="10">
        <f t="shared" si="10"/>
        <v>0.005195292794341342</v>
      </c>
      <c r="AM16" s="10">
        <f t="shared" si="10"/>
        <v>0.001755148615761935</v>
      </c>
      <c r="AN16" s="10">
        <f t="shared" si="10"/>
        <v>0.00554232568855071</v>
      </c>
      <c r="AO16" s="10">
        <f t="shared" si="10"/>
        <v>0.006624547629270687</v>
      </c>
      <c r="AP16" s="10">
        <f t="shared" si="10"/>
        <v>0.006613387283341479</v>
      </c>
      <c r="AQ16" s="10">
        <f t="shared" si="10"/>
        <v>0.00035549235691432633</v>
      </c>
      <c r="AR16" s="10">
        <f t="shared" si="10"/>
        <v>0.013070262415618705</v>
      </c>
    </row>
    <row r="17" spans="2:3" ht="12.75">
      <c r="B17" s="11"/>
      <c r="C17" s="10"/>
    </row>
    <row r="18" spans="2:3" ht="12.75">
      <c r="B18" s="11"/>
      <c r="C18" s="10"/>
    </row>
    <row r="19" spans="2:3" ht="12.75">
      <c r="B19" s="11"/>
      <c r="C19" s="10"/>
    </row>
    <row r="20" spans="2:3" ht="12.75">
      <c r="B20" s="11"/>
      <c r="C20" s="10"/>
    </row>
    <row r="21" spans="2:3" ht="12.75">
      <c r="B21" s="11"/>
      <c r="C21" s="10"/>
    </row>
    <row r="22" spans="2:3" ht="12.75">
      <c r="B22" s="11"/>
      <c r="C22" s="10"/>
    </row>
    <row r="23" spans="2:3" ht="12.75">
      <c r="B23" s="11"/>
      <c r="C23" s="10"/>
    </row>
    <row r="24" spans="2:3" ht="12.75">
      <c r="B24" s="11"/>
      <c r="C24" s="10"/>
    </row>
    <row r="25" spans="2:3" ht="12.75">
      <c r="B25" s="11"/>
      <c r="C25" s="10"/>
    </row>
    <row r="26" spans="2:3" ht="12.75">
      <c r="B26" s="11"/>
      <c r="C26" s="10"/>
    </row>
    <row r="27" spans="2:3" ht="12.75">
      <c r="B27" s="11"/>
      <c r="C27" s="10"/>
    </row>
    <row r="28" spans="2:3" ht="12.75">
      <c r="B28" s="11"/>
      <c r="C28" s="10"/>
    </row>
    <row r="29" spans="2:3" ht="12.75">
      <c r="B29" s="11"/>
      <c r="C29" s="10"/>
    </row>
    <row r="30" spans="2:3" ht="12.75">
      <c r="B30" s="11"/>
      <c r="C30" s="10"/>
    </row>
    <row r="31" spans="2:3" ht="12.75">
      <c r="B31" s="11"/>
      <c r="C31" s="10"/>
    </row>
    <row r="32" spans="2:3" ht="12.75">
      <c r="B32" s="11"/>
      <c r="C32" s="10"/>
    </row>
    <row r="33" spans="2:3" ht="12.75">
      <c r="B33" s="11"/>
      <c r="C33" s="10"/>
    </row>
    <row r="34" spans="2:3" ht="12.75">
      <c r="B34" s="11"/>
      <c r="C34" s="10"/>
    </row>
    <row r="35" spans="2:3" ht="12.75">
      <c r="B35" s="11"/>
      <c r="C35" s="10"/>
    </row>
    <row r="36" spans="2:3" ht="12.75">
      <c r="B36" s="11"/>
      <c r="C36" s="10"/>
    </row>
    <row r="37" spans="2:3" ht="12.75">
      <c r="B37" s="11"/>
      <c r="C37" s="10"/>
    </row>
    <row r="38" spans="2:3" ht="12.75">
      <c r="B38" s="11"/>
      <c r="C38" s="10"/>
    </row>
    <row r="39" spans="2:3" ht="12.75">
      <c r="B39" s="11"/>
      <c r="C39" s="10"/>
    </row>
    <row r="40" spans="2:3" ht="12.75">
      <c r="B40" s="11"/>
      <c r="C40" s="10"/>
    </row>
    <row r="41" spans="2:3" ht="12.75">
      <c r="B41" s="11"/>
      <c r="C41" s="10"/>
    </row>
    <row r="42" spans="2:3" ht="12.75">
      <c r="B42" s="11"/>
      <c r="C42" s="10"/>
    </row>
    <row r="43" spans="2:3" ht="12.75">
      <c r="B43" s="11"/>
      <c r="C43" s="10"/>
    </row>
    <row r="44" spans="2:3" ht="12.75">
      <c r="B44" s="11"/>
      <c r="C44" s="10"/>
    </row>
    <row r="45" spans="2:3" ht="12.75">
      <c r="B45" s="11"/>
      <c r="C45" s="10"/>
    </row>
    <row r="46" spans="2:3" ht="12.75">
      <c r="B46" s="11"/>
      <c r="C46" s="10"/>
    </row>
    <row r="47" spans="2:3" ht="12.75">
      <c r="B47" s="11"/>
      <c r="C47" s="10"/>
    </row>
    <row r="48" spans="2:3" ht="12.75">
      <c r="B48" s="11"/>
      <c r="C48" s="10"/>
    </row>
    <row r="49" spans="2:3" ht="12.75">
      <c r="B49" s="11"/>
      <c r="C49" s="10"/>
    </row>
    <row r="50" spans="2:3" ht="12.75">
      <c r="B50" s="11"/>
      <c r="C50" s="10"/>
    </row>
    <row r="51" spans="2:3" ht="12.75">
      <c r="B51" s="11"/>
      <c r="C51" s="10"/>
    </row>
    <row r="52" spans="2:3" ht="12.75">
      <c r="B52" s="11"/>
      <c r="C52" s="10"/>
    </row>
    <row r="53" ht="12.75">
      <c r="C53" s="10"/>
    </row>
    <row r="54" ht="12.75">
      <c r="C54" s="10"/>
    </row>
  </sheetData>
  <printOptions gridLines="1"/>
  <pageMargins left="0.75" right="0.75" top="1" bottom="1" header="0.511811023" footer="0.511811023"/>
  <pageSetup orientation="portrait" paperSize="9"/>
  <headerFooter alignWithMargins="0">
    <oddHeader>&amp;C&amp;F</oddHeader>
    <oddFooter>&amp;CSeite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458"/>
  <sheetViews>
    <sheetView tabSelected="1" workbookViewId="0" topLeftCell="A1">
      <pane xSplit="1" ySplit="1" topLeftCell="B140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1441" sqref="D1441"/>
    </sheetView>
  </sheetViews>
  <sheetFormatPr defaultColWidth="11.421875" defaultRowHeight="12.75"/>
  <cols>
    <col min="1" max="1" width="12.57421875" style="134" customWidth="1"/>
    <col min="2" max="2" width="12.57421875" style="109" customWidth="1"/>
    <col min="3" max="3" width="14.00390625" style="109" bestFit="1" customWidth="1"/>
    <col min="4" max="5" width="12.57421875" style="109" customWidth="1"/>
    <col min="6" max="6" width="12.57421875" style="131" customWidth="1"/>
    <col min="7" max="16384" width="12.57421875" style="109" customWidth="1"/>
  </cols>
  <sheetData>
    <row r="1" spans="1:6" ht="14.25">
      <c r="A1" s="134" t="s">
        <v>658</v>
      </c>
      <c r="B1" s="112" t="s">
        <v>659</v>
      </c>
      <c r="C1" s="112" t="s">
        <v>660</v>
      </c>
      <c r="D1" s="112" t="s">
        <v>724</v>
      </c>
      <c r="E1" s="112" t="s">
        <v>725</v>
      </c>
      <c r="F1" s="131" t="s">
        <v>899</v>
      </c>
    </row>
    <row r="2" spans="1:8" ht="14.25">
      <c r="A2" s="134">
        <v>35865</v>
      </c>
      <c r="B2" s="111">
        <v>32.3842</v>
      </c>
      <c r="C2" s="111">
        <f>B2*10^-3</f>
        <v>0.0323842</v>
      </c>
      <c r="D2" s="111"/>
      <c r="G2" s="126" t="s">
        <v>754</v>
      </c>
      <c r="H2" s="110"/>
    </row>
    <row r="3" spans="1:9" ht="14.25">
      <c r="A3" s="134">
        <v>35866</v>
      </c>
      <c r="B3" s="111">
        <v>33.0382</v>
      </c>
      <c r="C3" s="111">
        <f aca="true" t="shared" si="0" ref="C3:C66">B3*10^-3</f>
        <v>0.033038200000000004</v>
      </c>
      <c r="D3" s="111"/>
      <c r="G3" s="111"/>
      <c r="H3" s="124" t="s">
        <v>755</v>
      </c>
      <c r="I3" s="112" t="s">
        <v>757</v>
      </c>
    </row>
    <row r="4" spans="1:8" ht="14.25">
      <c r="A4" s="134">
        <v>35867</v>
      </c>
      <c r="B4" s="111">
        <v>32.139</v>
      </c>
      <c r="C4" s="111">
        <f t="shared" si="0"/>
        <v>0.032139</v>
      </c>
      <c r="D4" s="111"/>
      <c r="G4" s="127">
        <v>1998</v>
      </c>
      <c r="H4" s="115">
        <v>33.7704</v>
      </c>
    </row>
    <row r="5" spans="1:12" ht="14.25">
      <c r="A5" s="134">
        <v>35870</v>
      </c>
      <c r="B5" s="111">
        <v>32.1611</v>
      </c>
      <c r="C5" s="111">
        <f t="shared" si="0"/>
        <v>0.0321611</v>
      </c>
      <c r="D5" s="111"/>
      <c r="G5" s="127">
        <f>G4+1</f>
        <v>1999</v>
      </c>
      <c r="H5" s="115">
        <v>28.028</v>
      </c>
      <c r="I5" s="114">
        <f>H5/H4-1</f>
        <v>-0.17004240399876824</v>
      </c>
      <c r="J5" s="109" t="s">
        <v>727</v>
      </c>
      <c r="K5" s="109" t="s">
        <v>728</v>
      </c>
      <c r="L5" s="109" t="s">
        <v>729</v>
      </c>
    </row>
    <row r="6" spans="1:12" ht="14.25">
      <c r="A6" s="134">
        <v>35871</v>
      </c>
      <c r="B6" s="111">
        <v>32.317</v>
      </c>
      <c r="C6" s="111">
        <f t="shared" si="0"/>
        <v>0.032317</v>
      </c>
      <c r="D6" s="111"/>
      <c r="G6" s="127">
        <f>G5+1</f>
        <v>2000</v>
      </c>
      <c r="H6" s="115">
        <v>39.3517</v>
      </c>
      <c r="I6" s="114">
        <f>H6/H5-1</f>
        <v>0.4040138432995577</v>
      </c>
      <c r="J6" s="109" t="s">
        <v>730</v>
      </c>
      <c r="K6" s="109" t="s">
        <v>728</v>
      </c>
      <c r="L6" s="109" t="s">
        <v>731</v>
      </c>
    </row>
    <row r="7" spans="1:9" ht="14.25">
      <c r="A7" s="134">
        <v>35872</v>
      </c>
      <c r="B7" s="111">
        <v>32.6003</v>
      </c>
      <c r="C7" s="111">
        <f t="shared" si="0"/>
        <v>0.0326003</v>
      </c>
      <c r="D7" s="111"/>
      <c r="G7" s="127">
        <f>G6+1</f>
        <v>2001</v>
      </c>
      <c r="H7" s="115">
        <v>52.2537</v>
      </c>
      <c r="I7" s="114">
        <f>H7/H6-1</f>
        <v>0.3278638534040461</v>
      </c>
    </row>
    <row r="8" spans="1:10" ht="14.25">
      <c r="A8" s="134">
        <v>35873</v>
      </c>
      <c r="B8" s="111">
        <v>32.7813</v>
      </c>
      <c r="C8" s="111">
        <f t="shared" si="0"/>
        <v>0.0327813</v>
      </c>
      <c r="D8" s="111"/>
      <c r="G8" s="128">
        <v>2002</v>
      </c>
      <c r="H8" s="115">
        <f>SUM(H13:H24)/12</f>
        <v>58.75174040323619</v>
      </c>
      <c r="I8" s="114">
        <f>H8/H7-1</f>
        <v>0.12435560358857245</v>
      </c>
      <c r="J8" s="109" t="s">
        <v>732</v>
      </c>
    </row>
    <row r="9" spans="1:10" ht="14.25">
      <c r="A9" s="134">
        <v>35874</v>
      </c>
      <c r="B9" s="111">
        <v>32.5683</v>
      </c>
      <c r="C9" s="111">
        <f t="shared" si="0"/>
        <v>0.0325683</v>
      </c>
      <c r="D9" s="111"/>
      <c r="G9" s="128">
        <v>2003</v>
      </c>
      <c r="H9" s="115"/>
      <c r="I9" s="114"/>
      <c r="J9" s="109" t="s">
        <v>733</v>
      </c>
    </row>
    <row r="10" spans="1:9" ht="14.25">
      <c r="A10" s="134">
        <v>35877</v>
      </c>
      <c r="B10" s="111">
        <v>32.3507</v>
      </c>
      <c r="C10" s="111">
        <f t="shared" si="0"/>
        <v>0.0323507</v>
      </c>
      <c r="D10" s="111"/>
      <c r="G10" s="128"/>
      <c r="H10" s="115"/>
      <c r="I10" s="114"/>
    </row>
    <row r="11" spans="1:10" ht="14.25">
      <c r="A11" s="134">
        <v>35878</v>
      </c>
      <c r="B11" s="111">
        <v>32.3613</v>
      </c>
      <c r="C11" s="111">
        <f t="shared" si="0"/>
        <v>0.0323613</v>
      </c>
      <c r="D11" s="111"/>
      <c r="G11" s="128"/>
      <c r="H11" s="115"/>
      <c r="I11" s="114"/>
      <c r="J11" s="109" t="s">
        <v>734</v>
      </c>
    </row>
    <row r="12" spans="1:10" ht="14.25">
      <c r="A12" s="134">
        <v>35879</v>
      </c>
      <c r="B12" s="111">
        <v>33.3631</v>
      </c>
      <c r="C12" s="111">
        <f t="shared" si="0"/>
        <v>0.03336310000000001</v>
      </c>
      <c r="D12" s="111"/>
      <c r="J12" s="109" t="s">
        <v>735</v>
      </c>
    </row>
    <row r="13" spans="1:10" ht="14.25">
      <c r="A13" s="134">
        <v>35880</v>
      </c>
      <c r="B13" s="111">
        <v>33.1091</v>
      </c>
      <c r="C13" s="111">
        <f t="shared" si="0"/>
        <v>0.033109099999999995</v>
      </c>
      <c r="D13" s="111"/>
      <c r="G13" s="128" t="s">
        <v>717</v>
      </c>
      <c r="H13" s="115">
        <f>1358.6716/21</f>
        <v>64.69864761904762</v>
      </c>
      <c r="J13" s="109" t="s">
        <v>736</v>
      </c>
    </row>
    <row r="14" spans="1:10" ht="14.25">
      <c r="A14" s="134">
        <v>35881</v>
      </c>
      <c r="B14" s="111">
        <v>32.3872</v>
      </c>
      <c r="C14" s="111">
        <f t="shared" si="0"/>
        <v>0.0323872</v>
      </c>
      <c r="D14" s="111"/>
      <c r="G14" s="128" t="s">
        <v>705</v>
      </c>
      <c r="H14" s="115">
        <f>800.995/20</f>
        <v>40.04975</v>
      </c>
      <c r="I14" s="114">
        <f aca="true" t="shared" si="1" ref="I14:I31">H14/H13-1</f>
        <v>-0.38098010586222597</v>
      </c>
      <c r="J14" s="109" t="s">
        <v>737</v>
      </c>
    </row>
    <row r="15" spans="1:10" ht="14.25">
      <c r="A15" s="134">
        <v>35884</v>
      </c>
      <c r="B15" s="111">
        <v>32.8436</v>
      </c>
      <c r="C15" s="111">
        <f t="shared" si="0"/>
        <v>0.0328436</v>
      </c>
      <c r="D15" s="111"/>
      <c r="G15" s="128" t="s">
        <v>718</v>
      </c>
      <c r="H15" s="115">
        <f>755.0719/20</f>
        <v>37.753595000000004</v>
      </c>
      <c r="I15" s="114">
        <f t="shared" si="1"/>
        <v>-0.05733256761902383</v>
      </c>
      <c r="J15" s="109" t="s">
        <v>738</v>
      </c>
    </row>
    <row r="16" spans="1:9" ht="14.25">
      <c r="A16" s="134">
        <v>35885</v>
      </c>
      <c r="B16" s="111">
        <v>32.5742</v>
      </c>
      <c r="C16" s="111">
        <f t="shared" si="0"/>
        <v>0.0325742</v>
      </c>
      <c r="D16" s="111"/>
      <c r="G16" s="128" t="s">
        <v>719</v>
      </c>
      <c r="H16" s="115">
        <f>1015.1161/21</f>
        <v>48.338861904761906</v>
      </c>
      <c r="I16" s="114">
        <f t="shared" si="1"/>
        <v>0.2803777204465403</v>
      </c>
    </row>
    <row r="17" spans="1:9" ht="14.25">
      <c r="A17" s="134">
        <v>35886</v>
      </c>
      <c r="B17" s="111">
        <v>32.5033</v>
      </c>
      <c r="C17" s="111">
        <f t="shared" si="0"/>
        <v>0.032503300000000006</v>
      </c>
      <c r="D17" s="111"/>
      <c r="G17" s="128" t="s">
        <v>720</v>
      </c>
      <c r="H17" s="115">
        <f>SUM(B1051:B1071)/21</f>
        <v>45.114280952380945</v>
      </c>
      <c r="I17" s="114">
        <f t="shared" si="1"/>
        <v>-0.06670783765522015</v>
      </c>
    </row>
    <row r="18" spans="1:10" ht="14.25">
      <c r="A18" s="134">
        <v>35887</v>
      </c>
      <c r="B18" s="111">
        <v>31.2633</v>
      </c>
      <c r="C18" s="111">
        <f t="shared" si="0"/>
        <v>0.0312633</v>
      </c>
      <c r="D18" s="111"/>
      <c r="G18" s="128" t="s">
        <v>721</v>
      </c>
      <c r="H18" s="115">
        <f>SUM(B1072:B1091)/20</f>
        <v>70.234455</v>
      </c>
      <c r="I18" s="114">
        <f t="shared" si="1"/>
        <v>0.5568120230960549</v>
      </c>
      <c r="J18" s="109" t="s">
        <v>739</v>
      </c>
    </row>
    <row r="19" spans="1:10" ht="14.25">
      <c r="A19" s="134">
        <v>35888</v>
      </c>
      <c r="B19" s="111">
        <v>30.4676</v>
      </c>
      <c r="C19" s="111">
        <f t="shared" si="0"/>
        <v>0.0304676</v>
      </c>
      <c r="D19" s="111"/>
      <c r="G19" s="128" t="s">
        <v>722</v>
      </c>
      <c r="H19" s="130">
        <f>SUM(B1092:B1113)/22</f>
        <v>82.15605</v>
      </c>
      <c r="I19" s="114">
        <f t="shared" si="1"/>
        <v>0.16973998018493908</v>
      </c>
      <c r="J19" s="109" t="s">
        <v>740</v>
      </c>
    </row>
    <row r="20" spans="1:10" ht="14.25">
      <c r="A20" s="134">
        <v>35891</v>
      </c>
      <c r="B20" s="111">
        <v>30.4271</v>
      </c>
      <c r="C20" s="111">
        <f t="shared" si="0"/>
        <v>0.0304271</v>
      </c>
      <c r="D20" s="111"/>
      <c r="G20" s="128" t="s">
        <v>712</v>
      </c>
      <c r="H20" s="115">
        <f>SUM(B1114:B1134)/21</f>
        <v>64.95800476190476</v>
      </c>
      <c r="I20" s="114">
        <f t="shared" si="1"/>
        <v>-0.20933388640392558</v>
      </c>
      <c r="J20" s="109" t="s">
        <v>741</v>
      </c>
    </row>
    <row r="21" spans="1:10" ht="14.25">
      <c r="A21" s="134">
        <v>35892</v>
      </c>
      <c r="B21" s="111">
        <v>32.3986</v>
      </c>
      <c r="C21" s="111">
        <f t="shared" si="0"/>
        <v>0.0323986</v>
      </c>
      <c r="D21" s="111"/>
      <c r="G21" s="128" t="s">
        <v>713</v>
      </c>
      <c r="H21" s="115">
        <f>SUM(B1135:B1155)/21</f>
        <v>97.93418095238097</v>
      </c>
      <c r="I21" s="114">
        <f t="shared" si="1"/>
        <v>0.5076537727928399</v>
      </c>
      <c r="J21" s="109" t="s">
        <v>742</v>
      </c>
    </row>
    <row r="22" spans="1:10" ht="14.25">
      <c r="A22" s="134">
        <v>35893</v>
      </c>
      <c r="B22" s="111">
        <v>31.9679</v>
      </c>
      <c r="C22" s="111">
        <f t="shared" si="0"/>
        <v>0.0319679</v>
      </c>
      <c r="D22" s="111"/>
      <c r="G22" s="128" t="s">
        <v>756</v>
      </c>
      <c r="H22" s="115">
        <f>SUM(B1156:B1177)/22</f>
        <v>55.95444504921654</v>
      </c>
      <c r="I22" s="114">
        <f t="shared" si="1"/>
        <v>-0.42865254495339533</v>
      </c>
      <c r="J22" s="109" t="s">
        <v>743</v>
      </c>
    </row>
    <row r="23" spans="1:10" ht="14.25">
      <c r="A23" s="134">
        <v>35894</v>
      </c>
      <c r="B23" s="111">
        <v>32.0625</v>
      </c>
      <c r="C23" s="111">
        <f t="shared" si="0"/>
        <v>0.0320625</v>
      </c>
      <c r="D23" s="111"/>
      <c r="G23" s="128" t="s">
        <v>759</v>
      </c>
      <c r="H23" s="115">
        <f>SUM(B1178:B1198)/21</f>
        <v>45.905652364095054</v>
      </c>
      <c r="I23" s="114">
        <f t="shared" si="1"/>
        <v>-0.17958881865922793</v>
      </c>
      <c r="J23" s="109" t="s">
        <v>744</v>
      </c>
    </row>
    <row r="24" spans="1:10" ht="14.25">
      <c r="A24" s="134">
        <v>35899</v>
      </c>
      <c r="B24" s="111">
        <v>32.3497</v>
      </c>
      <c r="C24" s="111">
        <f t="shared" si="0"/>
        <v>0.0323497</v>
      </c>
      <c r="D24" s="111"/>
      <c r="G24" s="128" t="s">
        <v>760</v>
      </c>
      <c r="H24" s="115">
        <f>SUM(B1199:B1216)/18</f>
        <v>51.92296123504639</v>
      </c>
      <c r="I24" s="114">
        <f t="shared" si="1"/>
        <v>0.13107991197305702</v>
      </c>
      <c r="J24" s="109" t="s">
        <v>745</v>
      </c>
    </row>
    <row r="25" spans="1:10" ht="14.25">
      <c r="A25" s="134">
        <v>35900</v>
      </c>
      <c r="B25" s="111">
        <v>33.7772</v>
      </c>
      <c r="C25" s="111">
        <f t="shared" si="0"/>
        <v>0.0337772</v>
      </c>
      <c r="D25" s="111"/>
      <c r="G25" s="128" t="s">
        <v>761</v>
      </c>
      <c r="H25" s="115">
        <f>SUM(B1217:B1234)/18</f>
        <v>59.79835605621338</v>
      </c>
      <c r="I25" s="114">
        <f t="shared" si="1"/>
        <v>0.15167460857088688</v>
      </c>
      <c r="J25" s="109" t="s">
        <v>746</v>
      </c>
    </row>
    <row r="26" spans="1:10" ht="14.25">
      <c r="A26" s="134">
        <v>35901</v>
      </c>
      <c r="B26" s="111">
        <v>33.941</v>
      </c>
      <c r="C26" s="111">
        <f t="shared" si="0"/>
        <v>0.033941000000000006</v>
      </c>
      <c r="D26" s="111"/>
      <c r="G26" s="128" t="s">
        <v>762</v>
      </c>
      <c r="H26" s="115">
        <f>SUM(B1235:B1253)/19</f>
        <v>72.0666369387978</v>
      </c>
      <c r="I26" s="114">
        <f t="shared" si="1"/>
        <v>0.20516083872024238</v>
      </c>
      <c r="J26" s="109" t="s">
        <v>747</v>
      </c>
    </row>
    <row r="27" spans="1:10" ht="14.25">
      <c r="A27" s="134">
        <v>35902</v>
      </c>
      <c r="B27" s="111">
        <v>34.8865</v>
      </c>
      <c r="C27" s="111">
        <f t="shared" si="0"/>
        <v>0.0348865</v>
      </c>
      <c r="D27" s="111"/>
      <c r="G27" s="128" t="s">
        <v>763</v>
      </c>
      <c r="H27" s="115">
        <f>SUM(B1254:B1274)/21</f>
        <v>55.50045631045387</v>
      </c>
      <c r="I27" s="114">
        <f t="shared" si="1"/>
        <v>-0.22987309151685087</v>
      </c>
      <c r="J27" s="109" t="s">
        <v>748</v>
      </c>
    </row>
    <row r="28" spans="1:10" ht="14.25">
      <c r="A28" s="134">
        <v>35905</v>
      </c>
      <c r="B28" s="111">
        <v>33.8667</v>
      </c>
      <c r="C28" s="111">
        <f t="shared" si="0"/>
        <v>0.0338667</v>
      </c>
      <c r="D28" s="111"/>
      <c r="G28" s="128" t="s">
        <v>764</v>
      </c>
      <c r="H28" s="115">
        <f>SUM(B1275:B1294)/20</f>
        <v>49.85241508483887</v>
      </c>
      <c r="I28" s="114">
        <f t="shared" si="1"/>
        <v>-0.10176567187162311</v>
      </c>
      <c r="J28" s="109" t="s">
        <v>749</v>
      </c>
    </row>
    <row r="29" spans="1:10" ht="14.25">
      <c r="A29" s="134">
        <v>35906</v>
      </c>
      <c r="B29" s="111">
        <v>35.6026</v>
      </c>
      <c r="C29" s="111">
        <f t="shared" si="0"/>
        <v>0.035602600000000005</v>
      </c>
      <c r="D29" s="111"/>
      <c r="G29" s="135" t="s">
        <v>765</v>
      </c>
      <c r="H29" s="115">
        <f>SUM(B1295:B1314)/20</f>
        <v>51.310970306396484</v>
      </c>
      <c r="I29" s="114">
        <f t="shared" si="1"/>
        <v>0.02925746363692605</v>
      </c>
      <c r="J29" s="109" t="s">
        <v>750</v>
      </c>
    </row>
    <row r="30" spans="1:10" ht="14.25">
      <c r="A30" s="134">
        <v>35907</v>
      </c>
      <c r="B30" s="111">
        <v>34.0619</v>
      </c>
      <c r="C30" s="111">
        <f t="shared" si="0"/>
        <v>0.0340619</v>
      </c>
      <c r="D30" s="111"/>
      <c r="G30" s="135" t="s">
        <v>766</v>
      </c>
      <c r="H30" s="115">
        <f>SUM(B1315:B1334)/20</f>
        <v>92.7979700088501</v>
      </c>
      <c r="I30" s="114">
        <f t="shared" si="1"/>
        <v>0.8085405412277265</v>
      </c>
      <c r="J30" s="109" t="s">
        <v>751</v>
      </c>
    </row>
    <row r="31" spans="1:10" ht="14.25">
      <c r="A31" s="134">
        <v>35908</v>
      </c>
      <c r="B31" s="111">
        <v>33.7872</v>
      </c>
      <c r="C31" s="111">
        <f t="shared" si="0"/>
        <v>0.033787199999999996</v>
      </c>
      <c r="D31" s="111"/>
      <c r="G31" s="135" t="s">
        <v>767</v>
      </c>
      <c r="H31" s="115">
        <f>SUM(B1335:B1357)/23</f>
        <v>127.67186090220575</v>
      </c>
      <c r="I31" s="114">
        <f t="shared" si="1"/>
        <v>0.3758044587616489</v>
      </c>
      <c r="J31" s="109" t="s">
        <v>740</v>
      </c>
    </row>
    <row r="32" spans="1:10" ht="14.25">
      <c r="A32" s="134">
        <v>35909</v>
      </c>
      <c r="B32" s="111">
        <v>34.5074</v>
      </c>
      <c r="C32" s="111">
        <f t="shared" si="0"/>
        <v>0.0345074</v>
      </c>
      <c r="D32" s="111"/>
      <c r="G32" s="135" t="s">
        <v>768</v>
      </c>
      <c r="H32" s="110"/>
      <c r="J32" s="109" t="s">
        <v>752</v>
      </c>
    </row>
    <row r="33" spans="1:8" ht="14.25">
      <c r="A33" s="134">
        <v>35912</v>
      </c>
      <c r="B33" s="111">
        <v>32.2753</v>
      </c>
      <c r="C33" s="111">
        <f t="shared" si="0"/>
        <v>0.0322753</v>
      </c>
      <c r="D33" s="111"/>
      <c r="G33" s="135" t="s">
        <v>769</v>
      </c>
      <c r="H33" s="110"/>
    </row>
    <row r="34" spans="1:8" ht="14.25">
      <c r="A34" s="134">
        <v>35913</v>
      </c>
      <c r="B34" s="111">
        <v>33.5195</v>
      </c>
      <c r="C34" s="111">
        <f t="shared" si="0"/>
        <v>0.0335195</v>
      </c>
      <c r="D34" s="111"/>
      <c r="G34" s="135" t="s">
        <v>770</v>
      </c>
      <c r="H34" s="110"/>
    </row>
    <row r="35" spans="1:8" ht="14.25">
      <c r="A35" s="134">
        <v>35914</v>
      </c>
      <c r="B35" s="111">
        <v>33.3492</v>
      </c>
      <c r="C35" s="111">
        <f t="shared" si="0"/>
        <v>0.0333492</v>
      </c>
      <c r="D35" s="111"/>
      <c r="G35" s="135" t="s">
        <v>771</v>
      </c>
      <c r="H35" s="110"/>
    </row>
    <row r="36" spans="1:8" ht="14.25">
      <c r="A36" s="134">
        <v>35915</v>
      </c>
      <c r="B36" s="111">
        <v>34.7135</v>
      </c>
      <c r="C36" s="111">
        <f t="shared" si="0"/>
        <v>0.0347135</v>
      </c>
      <c r="D36" s="111"/>
      <c r="G36" s="135" t="s">
        <v>772</v>
      </c>
      <c r="H36" s="110"/>
    </row>
    <row r="37" spans="1:8" ht="14.25">
      <c r="A37" s="134">
        <v>35919</v>
      </c>
      <c r="B37" s="111">
        <v>32.1854</v>
      </c>
      <c r="C37" s="111">
        <f t="shared" si="0"/>
        <v>0.0321854</v>
      </c>
      <c r="D37" s="111"/>
      <c r="G37" s="135" t="s">
        <v>773</v>
      </c>
      <c r="H37" s="110"/>
    </row>
    <row r="38" spans="1:8" ht="14.25">
      <c r="A38" s="134">
        <v>35920</v>
      </c>
      <c r="B38" s="111">
        <v>32.429</v>
      </c>
      <c r="C38" s="111">
        <f t="shared" si="0"/>
        <v>0.032429</v>
      </c>
      <c r="D38" s="111"/>
      <c r="G38" s="135" t="s">
        <v>774</v>
      </c>
      <c r="H38" s="110"/>
    </row>
    <row r="39" spans="1:8" ht="14.25">
      <c r="A39" s="134">
        <v>35921</v>
      </c>
      <c r="B39" s="111">
        <v>33.5729</v>
      </c>
      <c r="C39" s="111">
        <f t="shared" si="0"/>
        <v>0.033572899999999996</v>
      </c>
      <c r="D39" s="111"/>
      <c r="E39" s="111"/>
      <c r="G39" s="135" t="s">
        <v>775</v>
      </c>
      <c r="H39" s="110"/>
    </row>
    <row r="40" spans="1:8" ht="14.25">
      <c r="A40" s="134">
        <v>35922</v>
      </c>
      <c r="B40" s="111">
        <v>32.6449</v>
      </c>
      <c r="C40" s="111">
        <f t="shared" si="0"/>
        <v>0.0326449</v>
      </c>
      <c r="D40" s="111"/>
      <c r="E40" s="111"/>
      <c r="G40" s="111"/>
      <c r="H40" s="110"/>
    </row>
    <row r="41" spans="1:8" ht="14.25">
      <c r="A41" s="134">
        <v>35923</v>
      </c>
      <c r="B41" s="111">
        <v>32.0963</v>
      </c>
      <c r="C41" s="111">
        <f t="shared" si="0"/>
        <v>0.0320963</v>
      </c>
      <c r="D41" s="111"/>
      <c r="E41" s="111"/>
      <c r="G41" s="111"/>
      <c r="H41" s="110"/>
    </row>
    <row r="42" spans="1:5" ht="14.25">
      <c r="A42" s="134">
        <v>35926</v>
      </c>
      <c r="B42" s="111">
        <v>31.8882</v>
      </c>
      <c r="C42" s="111">
        <f t="shared" si="0"/>
        <v>0.0318882</v>
      </c>
      <c r="D42" s="111"/>
      <c r="E42" s="111"/>
    </row>
    <row r="43" spans="1:5" ht="14.25">
      <c r="A43" s="134">
        <v>35927</v>
      </c>
      <c r="B43" s="111">
        <v>30.6058</v>
      </c>
      <c r="C43" s="111">
        <f t="shared" si="0"/>
        <v>0.0306058</v>
      </c>
      <c r="D43" s="111"/>
      <c r="E43" s="111"/>
    </row>
    <row r="44" spans="1:5" ht="14.25">
      <c r="A44" s="134">
        <v>35928</v>
      </c>
      <c r="B44" s="111">
        <v>30.1534</v>
      </c>
      <c r="C44" s="111">
        <f t="shared" si="0"/>
        <v>0.0301534</v>
      </c>
      <c r="D44" s="111"/>
      <c r="E44" s="111"/>
    </row>
    <row r="45" spans="1:5" ht="14.25">
      <c r="A45" s="134">
        <v>35929</v>
      </c>
      <c r="B45" s="111">
        <v>29.9706</v>
      </c>
      <c r="C45" s="111">
        <f t="shared" si="0"/>
        <v>0.0299706</v>
      </c>
      <c r="D45" s="111"/>
      <c r="E45" s="111"/>
    </row>
    <row r="46" spans="1:5" ht="14.25">
      <c r="A46" s="134">
        <v>35930</v>
      </c>
      <c r="B46" s="111">
        <v>29.7037</v>
      </c>
      <c r="C46" s="111">
        <f t="shared" si="0"/>
        <v>0.029703700000000003</v>
      </c>
      <c r="D46" s="111"/>
      <c r="E46" s="111"/>
    </row>
    <row r="47" spans="1:5" ht="14.25">
      <c r="A47" s="134">
        <v>35933</v>
      </c>
      <c r="B47" s="111">
        <v>30.7304</v>
      </c>
      <c r="C47" s="111">
        <f t="shared" si="0"/>
        <v>0.0307304</v>
      </c>
      <c r="D47" s="111"/>
      <c r="E47" s="111"/>
    </row>
    <row r="48" spans="1:5" ht="14.25">
      <c r="A48" s="134">
        <v>35934</v>
      </c>
      <c r="B48" s="111">
        <v>31.3565</v>
      </c>
      <c r="C48" s="111">
        <f t="shared" si="0"/>
        <v>0.0313565</v>
      </c>
      <c r="D48" s="111"/>
      <c r="E48" s="111"/>
    </row>
    <row r="49" spans="1:5" ht="14.25">
      <c r="A49" s="134">
        <v>35935</v>
      </c>
      <c r="B49" s="111">
        <v>30.995</v>
      </c>
      <c r="C49" s="111">
        <f t="shared" si="0"/>
        <v>0.030995</v>
      </c>
      <c r="D49" s="111"/>
      <c r="E49" s="111"/>
    </row>
    <row r="50" spans="1:5" ht="14.25">
      <c r="A50" s="134">
        <v>35937</v>
      </c>
      <c r="B50" s="111">
        <v>28.056</v>
      </c>
      <c r="C50" s="111">
        <f t="shared" si="0"/>
        <v>0.028056</v>
      </c>
      <c r="D50" s="111"/>
      <c r="E50" s="111"/>
    </row>
    <row r="51" spans="1:5" ht="14.25">
      <c r="A51" s="134">
        <v>35940</v>
      </c>
      <c r="B51" s="111">
        <v>31.8291</v>
      </c>
      <c r="C51" s="111">
        <f t="shared" si="0"/>
        <v>0.0318291</v>
      </c>
      <c r="D51" s="111"/>
      <c r="E51" s="111"/>
    </row>
    <row r="52" spans="1:5" ht="14.25">
      <c r="A52" s="134">
        <v>35941</v>
      </c>
      <c r="B52" s="111">
        <v>33.2496</v>
      </c>
      <c r="C52" s="111">
        <f t="shared" si="0"/>
        <v>0.033249600000000004</v>
      </c>
      <c r="D52" s="111"/>
      <c r="E52" s="111"/>
    </row>
    <row r="53" spans="1:5" ht="14.25">
      <c r="A53" s="134">
        <v>35942</v>
      </c>
      <c r="B53" s="111">
        <v>33.3482</v>
      </c>
      <c r="C53" s="111">
        <f t="shared" si="0"/>
        <v>0.0333482</v>
      </c>
      <c r="D53" s="111"/>
      <c r="E53" s="111"/>
    </row>
    <row r="54" spans="1:5" ht="14.25">
      <c r="A54" s="134">
        <v>35943</v>
      </c>
      <c r="B54" s="111">
        <v>33.671</v>
      </c>
      <c r="C54" s="111">
        <f t="shared" si="0"/>
        <v>0.033671</v>
      </c>
      <c r="D54" s="111"/>
      <c r="E54" s="111"/>
    </row>
    <row r="55" spans="1:5" ht="14.25">
      <c r="A55" s="134">
        <v>35944</v>
      </c>
      <c r="B55" s="111">
        <v>33.5533</v>
      </c>
      <c r="C55" s="111">
        <f t="shared" si="0"/>
        <v>0.0335533</v>
      </c>
      <c r="D55" s="111"/>
      <c r="E55" s="111"/>
    </row>
    <row r="56" spans="1:5" ht="14.25">
      <c r="A56" s="134">
        <v>35948</v>
      </c>
      <c r="B56" s="111">
        <v>33.4695</v>
      </c>
      <c r="C56" s="111">
        <f t="shared" si="0"/>
        <v>0.0334695</v>
      </c>
      <c r="D56" s="111"/>
      <c r="E56" s="111"/>
    </row>
    <row r="57" spans="1:5" ht="14.25">
      <c r="A57" s="134">
        <v>35949</v>
      </c>
      <c r="B57" s="111">
        <v>32.9134</v>
      </c>
      <c r="C57" s="111">
        <f t="shared" si="0"/>
        <v>0.0329134</v>
      </c>
      <c r="D57" s="111"/>
      <c r="E57" s="111"/>
    </row>
    <row r="58" spans="1:5" ht="14.25">
      <c r="A58" s="134">
        <v>35950</v>
      </c>
      <c r="B58" s="111">
        <v>32.7037</v>
      </c>
      <c r="C58" s="111">
        <f t="shared" si="0"/>
        <v>0.032703699999999995</v>
      </c>
      <c r="D58" s="111"/>
      <c r="E58" s="111"/>
    </row>
    <row r="59" spans="1:5" ht="14.25">
      <c r="A59" s="134">
        <v>35951</v>
      </c>
      <c r="B59" s="111">
        <v>31.0072</v>
      </c>
      <c r="C59" s="111">
        <f t="shared" si="0"/>
        <v>0.031007200000000002</v>
      </c>
      <c r="D59" s="111"/>
      <c r="E59" s="111"/>
    </row>
    <row r="60" spans="1:5" ht="14.25">
      <c r="A60" s="134">
        <v>35954</v>
      </c>
      <c r="B60" s="111">
        <v>32.2003</v>
      </c>
      <c r="C60" s="111">
        <f t="shared" si="0"/>
        <v>0.0322003</v>
      </c>
      <c r="D60" s="111"/>
      <c r="E60" s="111"/>
    </row>
    <row r="61" spans="1:5" ht="14.25">
      <c r="A61" s="134">
        <v>35955</v>
      </c>
      <c r="B61" s="111">
        <v>32.3506</v>
      </c>
      <c r="C61" s="111">
        <f t="shared" si="0"/>
        <v>0.0323506</v>
      </c>
      <c r="D61" s="111"/>
      <c r="E61" s="111"/>
    </row>
    <row r="62" spans="1:5" ht="14.25">
      <c r="A62" s="134">
        <v>35956</v>
      </c>
      <c r="B62" s="111">
        <v>32.3838</v>
      </c>
      <c r="C62" s="111">
        <f t="shared" si="0"/>
        <v>0.032383800000000004</v>
      </c>
      <c r="D62" s="111"/>
      <c r="E62" s="111"/>
    </row>
    <row r="63" spans="1:5" ht="14.25">
      <c r="A63" s="134">
        <v>35958</v>
      </c>
      <c r="B63" s="111">
        <v>29.8885</v>
      </c>
      <c r="C63" s="111">
        <f t="shared" si="0"/>
        <v>0.029888500000000002</v>
      </c>
      <c r="D63" s="111"/>
      <c r="E63" s="111"/>
    </row>
    <row r="64" spans="1:5" ht="14.25">
      <c r="A64" s="134">
        <v>35961</v>
      </c>
      <c r="B64" s="111">
        <v>32.9252</v>
      </c>
      <c r="C64" s="111">
        <f t="shared" si="0"/>
        <v>0.032925199999999995</v>
      </c>
      <c r="D64" s="111"/>
      <c r="E64" s="111"/>
    </row>
    <row r="65" spans="1:5" ht="14.25">
      <c r="A65" s="134">
        <v>35962</v>
      </c>
      <c r="B65" s="111">
        <v>34.679</v>
      </c>
      <c r="C65" s="111">
        <f t="shared" si="0"/>
        <v>0.034679</v>
      </c>
      <c r="D65" s="111"/>
      <c r="E65" s="111"/>
    </row>
    <row r="66" spans="1:5" ht="14.25">
      <c r="A66" s="134">
        <v>35963</v>
      </c>
      <c r="B66" s="111">
        <v>34.5124</v>
      </c>
      <c r="C66" s="111">
        <f t="shared" si="0"/>
        <v>0.0345124</v>
      </c>
      <c r="D66" s="111"/>
      <c r="E66" s="111"/>
    </row>
    <row r="67" spans="1:5" ht="14.25">
      <c r="A67" s="134">
        <v>35964</v>
      </c>
      <c r="B67" s="111">
        <v>34.3789</v>
      </c>
      <c r="C67" s="111">
        <f aca="true" t="shared" si="2" ref="C67:C130">B67*10^-3</f>
        <v>0.034378900000000004</v>
      </c>
      <c r="D67" s="111"/>
      <c r="E67" s="111"/>
    </row>
    <row r="68" spans="1:5" ht="14.25">
      <c r="A68" s="134">
        <v>35965</v>
      </c>
      <c r="B68" s="111">
        <v>34.3199</v>
      </c>
      <c r="C68" s="111">
        <f t="shared" si="2"/>
        <v>0.0343199</v>
      </c>
      <c r="D68" s="111"/>
      <c r="E68" s="111"/>
    </row>
    <row r="69" spans="1:5" ht="14.25">
      <c r="A69" s="134">
        <v>35968</v>
      </c>
      <c r="B69" s="111">
        <v>34.038</v>
      </c>
      <c r="C69" s="111">
        <f t="shared" si="2"/>
        <v>0.034038</v>
      </c>
      <c r="D69" s="111"/>
      <c r="E69" s="111"/>
    </row>
    <row r="70" spans="1:5" ht="14.25">
      <c r="A70" s="134">
        <v>35969</v>
      </c>
      <c r="B70" s="111">
        <v>33.8293</v>
      </c>
      <c r="C70" s="111">
        <f t="shared" si="2"/>
        <v>0.03382930000000001</v>
      </c>
      <c r="D70" s="111"/>
      <c r="E70" s="111"/>
    </row>
    <row r="71" spans="1:5" ht="14.25">
      <c r="A71" s="134">
        <v>35970</v>
      </c>
      <c r="B71" s="111">
        <v>34.3547</v>
      </c>
      <c r="C71" s="111">
        <f t="shared" si="2"/>
        <v>0.0343547</v>
      </c>
      <c r="D71" s="111"/>
      <c r="E71" s="111"/>
    </row>
    <row r="72" spans="1:5" ht="14.25">
      <c r="A72" s="134">
        <v>35971</v>
      </c>
      <c r="B72" s="111">
        <v>34.5684</v>
      </c>
      <c r="C72" s="111">
        <f t="shared" si="2"/>
        <v>0.0345684</v>
      </c>
      <c r="D72" s="111"/>
      <c r="E72" s="111"/>
    </row>
    <row r="73" spans="1:5" ht="14.25">
      <c r="A73" s="134">
        <v>35972</v>
      </c>
      <c r="B73" s="111">
        <v>35.4464</v>
      </c>
      <c r="C73" s="111">
        <f t="shared" si="2"/>
        <v>0.035446399999999996</v>
      </c>
      <c r="D73" s="111"/>
      <c r="E73" s="111"/>
    </row>
    <row r="74" spans="1:5" ht="14.25">
      <c r="A74" s="134">
        <v>35975</v>
      </c>
      <c r="B74" s="111">
        <v>34.4143</v>
      </c>
      <c r="C74" s="111">
        <f t="shared" si="2"/>
        <v>0.034414299999999995</v>
      </c>
      <c r="D74" s="111"/>
      <c r="E74" s="111"/>
    </row>
    <row r="75" spans="1:5" ht="14.25">
      <c r="A75" s="134">
        <v>35976</v>
      </c>
      <c r="B75" s="111">
        <v>36.7559</v>
      </c>
      <c r="C75" s="111">
        <f t="shared" si="2"/>
        <v>0.0367559</v>
      </c>
      <c r="D75" s="111"/>
      <c r="E75" s="111"/>
    </row>
    <row r="76" spans="1:5" ht="14.25">
      <c r="A76" s="134">
        <v>35977</v>
      </c>
      <c r="B76" s="111">
        <v>36.0916</v>
      </c>
      <c r="C76" s="111">
        <f t="shared" si="2"/>
        <v>0.0360916</v>
      </c>
      <c r="D76" s="111"/>
      <c r="E76" s="111"/>
    </row>
    <row r="77" spans="1:5" ht="14.25">
      <c r="A77" s="134">
        <v>35978</v>
      </c>
      <c r="B77" s="111">
        <v>37.0317</v>
      </c>
      <c r="C77" s="111">
        <f t="shared" si="2"/>
        <v>0.0370317</v>
      </c>
      <c r="D77" s="111"/>
      <c r="E77" s="111"/>
    </row>
    <row r="78" spans="1:5" ht="14.25">
      <c r="A78" s="134">
        <v>35979</v>
      </c>
      <c r="B78" s="111">
        <v>37.6761</v>
      </c>
      <c r="C78" s="111">
        <f t="shared" si="2"/>
        <v>0.0376761</v>
      </c>
      <c r="D78" s="111"/>
      <c r="E78" s="111"/>
    </row>
    <row r="79" spans="1:5" ht="14.25">
      <c r="A79" s="134">
        <v>35982</v>
      </c>
      <c r="B79" s="111">
        <v>36.9126</v>
      </c>
      <c r="C79" s="111">
        <f t="shared" si="2"/>
        <v>0.0369126</v>
      </c>
      <c r="D79" s="111"/>
      <c r="E79" s="111"/>
    </row>
    <row r="80" spans="1:5" ht="14.25">
      <c r="A80" s="134">
        <v>35983</v>
      </c>
      <c r="B80" s="111">
        <v>37.7477</v>
      </c>
      <c r="C80" s="111">
        <f t="shared" si="2"/>
        <v>0.0377477</v>
      </c>
      <c r="D80" s="111"/>
      <c r="E80" s="111"/>
    </row>
    <row r="81" spans="1:5" ht="14.25">
      <c r="A81" s="134">
        <v>35984</v>
      </c>
      <c r="B81" s="111">
        <v>36.8814</v>
      </c>
      <c r="C81" s="111">
        <f t="shared" si="2"/>
        <v>0.0368814</v>
      </c>
      <c r="D81" s="111"/>
      <c r="E81" s="111"/>
    </row>
    <row r="82" spans="1:5" ht="14.25">
      <c r="A82" s="134">
        <v>35985</v>
      </c>
      <c r="B82" s="111">
        <v>37.1902</v>
      </c>
      <c r="C82" s="111">
        <f t="shared" si="2"/>
        <v>0.0371902</v>
      </c>
      <c r="D82" s="111"/>
      <c r="E82" s="111"/>
    </row>
    <row r="83" spans="1:5" ht="14.25">
      <c r="A83" s="134">
        <v>35986</v>
      </c>
      <c r="B83" s="111">
        <v>37.3312</v>
      </c>
      <c r="C83" s="111">
        <f t="shared" si="2"/>
        <v>0.0373312</v>
      </c>
      <c r="D83" s="111"/>
      <c r="E83" s="111"/>
    </row>
    <row r="84" spans="1:5" ht="14.25">
      <c r="A84" s="134">
        <v>35989</v>
      </c>
      <c r="B84" s="111">
        <v>36.5229</v>
      </c>
      <c r="C84" s="111">
        <f t="shared" si="2"/>
        <v>0.036522900000000004</v>
      </c>
      <c r="D84" s="111"/>
      <c r="E84" s="111"/>
    </row>
    <row r="85" spans="1:5" ht="14.25">
      <c r="A85" s="134">
        <v>35990</v>
      </c>
      <c r="B85" s="111">
        <v>36.8793</v>
      </c>
      <c r="C85" s="111">
        <f t="shared" si="2"/>
        <v>0.036879300000000004</v>
      </c>
      <c r="D85" s="111"/>
      <c r="E85" s="111"/>
    </row>
    <row r="86" spans="1:5" ht="14.25">
      <c r="A86" s="134">
        <v>35991</v>
      </c>
      <c r="B86" s="111">
        <v>36.9442</v>
      </c>
      <c r="C86" s="111">
        <f t="shared" si="2"/>
        <v>0.0369442</v>
      </c>
      <c r="D86" s="111"/>
      <c r="E86" s="111"/>
    </row>
    <row r="87" spans="1:5" ht="14.25">
      <c r="A87" s="134">
        <v>35992</v>
      </c>
      <c r="B87" s="111">
        <v>37.0732</v>
      </c>
      <c r="C87" s="111">
        <f t="shared" si="2"/>
        <v>0.0370732</v>
      </c>
      <c r="D87" s="111"/>
      <c r="E87" s="111"/>
    </row>
    <row r="88" spans="1:5" ht="14.25">
      <c r="A88" s="134">
        <v>35993</v>
      </c>
      <c r="B88" s="111">
        <v>36.9125</v>
      </c>
      <c r="C88" s="111">
        <f t="shared" si="2"/>
        <v>0.0369125</v>
      </c>
      <c r="D88" s="111"/>
      <c r="E88" s="111"/>
    </row>
    <row r="89" spans="1:5" ht="14.25">
      <c r="A89" s="134">
        <v>35996</v>
      </c>
      <c r="B89" s="111">
        <v>37.2687</v>
      </c>
      <c r="C89" s="111">
        <f t="shared" si="2"/>
        <v>0.0372687</v>
      </c>
      <c r="D89" s="111"/>
      <c r="E89" s="111"/>
    </row>
    <row r="90" spans="1:5" ht="14.25">
      <c r="A90" s="134">
        <v>35997</v>
      </c>
      <c r="B90" s="111">
        <v>37.3294</v>
      </c>
      <c r="C90" s="111">
        <f t="shared" si="2"/>
        <v>0.0373294</v>
      </c>
      <c r="D90" s="111"/>
      <c r="E90" s="111"/>
    </row>
    <row r="91" spans="1:5" ht="14.25">
      <c r="A91" s="134">
        <v>35998</v>
      </c>
      <c r="B91" s="111">
        <v>37.1272</v>
      </c>
      <c r="C91" s="111">
        <f t="shared" si="2"/>
        <v>0.037127200000000006</v>
      </c>
      <c r="D91" s="111"/>
      <c r="E91" s="111"/>
    </row>
    <row r="92" spans="1:5" ht="14.25">
      <c r="A92" s="134">
        <v>35999</v>
      </c>
      <c r="B92" s="111">
        <v>37.3734</v>
      </c>
      <c r="C92" s="111">
        <f t="shared" si="2"/>
        <v>0.037373399999999994</v>
      </c>
      <c r="D92" s="111"/>
      <c r="E92" s="111"/>
    </row>
    <row r="93" spans="1:5" ht="14.25">
      <c r="A93" s="134">
        <v>36000</v>
      </c>
      <c r="B93" s="111">
        <v>37.0383</v>
      </c>
      <c r="C93" s="111">
        <f t="shared" si="2"/>
        <v>0.0370383</v>
      </c>
      <c r="D93" s="111"/>
      <c r="E93" s="111"/>
    </row>
    <row r="94" spans="1:5" ht="14.25">
      <c r="A94" s="134">
        <v>36003</v>
      </c>
      <c r="B94" s="111">
        <v>36.6573</v>
      </c>
      <c r="C94" s="111">
        <f t="shared" si="2"/>
        <v>0.0366573</v>
      </c>
      <c r="D94" s="111"/>
      <c r="E94" s="111"/>
    </row>
    <row r="95" spans="1:5" ht="14.25">
      <c r="A95" s="134">
        <v>36004</v>
      </c>
      <c r="B95" s="111">
        <v>37.0258</v>
      </c>
      <c r="C95" s="111">
        <f t="shared" si="2"/>
        <v>0.0370258</v>
      </c>
      <c r="D95" s="111"/>
      <c r="E95" s="111"/>
    </row>
    <row r="96" spans="1:5" ht="14.25">
      <c r="A96" s="134">
        <v>36005</v>
      </c>
      <c r="B96" s="111">
        <v>36.6878</v>
      </c>
      <c r="C96" s="111">
        <f t="shared" si="2"/>
        <v>0.036687800000000007</v>
      </c>
      <c r="D96" s="111"/>
      <c r="E96" s="111"/>
    </row>
    <row r="97" spans="1:5" ht="14.25">
      <c r="A97" s="134">
        <v>36006</v>
      </c>
      <c r="B97" s="111">
        <v>35.4845</v>
      </c>
      <c r="C97" s="111">
        <f t="shared" si="2"/>
        <v>0.035484499999999995</v>
      </c>
      <c r="D97" s="111"/>
      <c r="E97" s="111"/>
    </row>
    <row r="98" spans="1:5" ht="14.25">
      <c r="A98" s="134">
        <v>36007</v>
      </c>
      <c r="B98" s="111">
        <v>36.1105</v>
      </c>
      <c r="C98" s="111">
        <f t="shared" si="2"/>
        <v>0.036110500000000004</v>
      </c>
      <c r="D98" s="111"/>
      <c r="E98" s="111"/>
    </row>
    <row r="99" spans="1:5" ht="14.25">
      <c r="A99" s="134">
        <v>36010</v>
      </c>
      <c r="B99" s="111">
        <v>33.5723</v>
      </c>
      <c r="C99" s="111">
        <f t="shared" si="2"/>
        <v>0.0335723</v>
      </c>
      <c r="D99" s="111"/>
      <c r="E99" s="111"/>
    </row>
    <row r="100" spans="1:5" ht="14.25">
      <c r="A100" s="134">
        <v>36011</v>
      </c>
      <c r="B100" s="111">
        <v>33.8655</v>
      </c>
      <c r="C100" s="111">
        <f t="shared" si="2"/>
        <v>0.0338655</v>
      </c>
      <c r="D100" s="111"/>
      <c r="E100" s="111"/>
    </row>
    <row r="101" spans="1:5" ht="14.25">
      <c r="A101" s="134">
        <v>36012</v>
      </c>
      <c r="B101" s="111">
        <v>34.116</v>
      </c>
      <c r="C101" s="111">
        <f t="shared" si="2"/>
        <v>0.034116</v>
      </c>
      <c r="D101" s="111"/>
      <c r="E101" s="111"/>
    </row>
    <row r="102" spans="1:5" ht="14.25">
      <c r="A102" s="134">
        <v>36013</v>
      </c>
      <c r="B102" s="111">
        <v>34.1227</v>
      </c>
      <c r="C102" s="111">
        <f t="shared" si="2"/>
        <v>0.034122700000000006</v>
      </c>
      <c r="D102" s="111"/>
      <c r="E102" s="111"/>
    </row>
    <row r="103" spans="1:5" ht="14.25">
      <c r="A103" s="134">
        <v>36014</v>
      </c>
      <c r="B103" s="111">
        <v>35.1091</v>
      </c>
      <c r="C103" s="111">
        <f t="shared" si="2"/>
        <v>0.0351091</v>
      </c>
      <c r="D103" s="111"/>
      <c r="E103" s="111"/>
    </row>
    <row r="104" spans="1:5" ht="14.25">
      <c r="A104" s="134">
        <v>36017</v>
      </c>
      <c r="B104" s="111">
        <v>34.8629</v>
      </c>
      <c r="C104" s="111">
        <f t="shared" si="2"/>
        <v>0.0348629</v>
      </c>
      <c r="D104" s="111"/>
      <c r="E104" s="111"/>
    </row>
    <row r="105" spans="1:5" ht="14.25">
      <c r="A105" s="134">
        <v>36018</v>
      </c>
      <c r="B105" s="111">
        <v>34.9499</v>
      </c>
      <c r="C105" s="111">
        <f t="shared" si="2"/>
        <v>0.0349499</v>
      </c>
      <c r="D105" s="111"/>
      <c r="E105" s="111"/>
    </row>
    <row r="106" spans="1:5" ht="14.25">
      <c r="A106" s="134">
        <v>36019</v>
      </c>
      <c r="B106" s="111">
        <v>36.4632</v>
      </c>
      <c r="C106" s="111">
        <f t="shared" si="2"/>
        <v>0.0364632</v>
      </c>
      <c r="D106" s="111"/>
      <c r="E106" s="111"/>
    </row>
    <row r="107" spans="1:5" ht="14.25">
      <c r="A107" s="134">
        <v>36020</v>
      </c>
      <c r="B107" s="111">
        <v>36.5069</v>
      </c>
      <c r="C107" s="111">
        <f t="shared" si="2"/>
        <v>0.0365069</v>
      </c>
      <c r="D107" s="111"/>
      <c r="E107" s="111"/>
    </row>
    <row r="108" spans="1:5" ht="14.25">
      <c r="A108" s="134">
        <v>36021</v>
      </c>
      <c r="B108" s="111">
        <v>36.8103</v>
      </c>
      <c r="C108" s="111">
        <f t="shared" si="2"/>
        <v>0.0368103</v>
      </c>
      <c r="D108" s="111"/>
      <c r="E108" s="111"/>
    </row>
    <row r="109" spans="1:5" ht="14.25">
      <c r="A109" s="134">
        <v>36024</v>
      </c>
      <c r="B109" s="111">
        <v>37.392</v>
      </c>
      <c r="C109" s="111">
        <f t="shared" si="2"/>
        <v>0.037392</v>
      </c>
      <c r="D109" s="111"/>
      <c r="E109" s="111"/>
    </row>
    <row r="110" spans="1:5" ht="14.25">
      <c r="A110" s="134">
        <v>36025</v>
      </c>
      <c r="B110" s="111">
        <v>37.0958</v>
      </c>
      <c r="C110" s="111">
        <f t="shared" si="2"/>
        <v>0.0370958</v>
      </c>
      <c r="D110" s="111"/>
      <c r="E110" s="111"/>
    </row>
    <row r="111" spans="1:5" ht="14.25">
      <c r="A111" s="134">
        <v>36026</v>
      </c>
      <c r="B111" s="111">
        <v>38.0146</v>
      </c>
      <c r="C111" s="111">
        <f t="shared" si="2"/>
        <v>0.0380146</v>
      </c>
      <c r="D111" s="111"/>
      <c r="E111" s="111"/>
    </row>
    <row r="112" spans="1:5" ht="14.25">
      <c r="A112" s="134">
        <v>36027</v>
      </c>
      <c r="B112" s="111">
        <v>37.7841</v>
      </c>
      <c r="C112" s="111">
        <f t="shared" si="2"/>
        <v>0.0377841</v>
      </c>
      <c r="D112" s="111"/>
      <c r="E112" s="111"/>
    </row>
    <row r="113" spans="1:5" ht="14.25">
      <c r="A113" s="134">
        <v>36028</v>
      </c>
      <c r="B113" s="111">
        <v>37.9316</v>
      </c>
      <c r="C113" s="111">
        <f t="shared" si="2"/>
        <v>0.0379316</v>
      </c>
      <c r="D113" s="111"/>
      <c r="E113" s="111"/>
    </row>
    <row r="114" spans="1:5" ht="14.25">
      <c r="A114" s="134">
        <v>36031</v>
      </c>
      <c r="B114" s="111">
        <v>38.8211</v>
      </c>
      <c r="C114" s="111">
        <f t="shared" si="2"/>
        <v>0.038821100000000004</v>
      </c>
      <c r="D114" s="111"/>
      <c r="E114" s="111"/>
    </row>
    <row r="115" spans="1:5" ht="14.25">
      <c r="A115" s="134">
        <v>36032</v>
      </c>
      <c r="B115" s="111">
        <v>38.2725</v>
      </c>
      <c r="C115" s="111">
        <f t="shared" si="2"/>
        <v>0.0382725</v>
      </c>
      <c r="D115" s="111"/>
      <c r="E115" s="111"/>
    </row>
    <row r="116" spans="1:5" ht="14.25">
      <c r="A116" s="134">
        <v>36033</v>
      </c>
      <c r="B116" s="111">
        <v>37.5204</v>
      </c>
      <c r="C116" s="111">
        <f t="shared" si="2"/>
        <v>0.0375204</v>
      </c>
      <c r="D116" s="111"/>
      <c r="E116" s="111"/>
    </row>
    <row r="117" spans="1:5" ht="14.25">
      <c r="A117" s="134">
        <v>36034</v>
      </c>
      <c r="B117" s="111">
        <v>36.9153</v>
      </c>
      <c r="C117" s="111">
        <f t="shared" si="2"/>
        <v>0.036915300000000005</v>
      </c>
      <c r="D117" s="111"/>
      <c r="E117" s="111"/>
    </row>
    <row r="118" spans="1:5" ht="14.25">
      <c r="A118" s="134">
        <v>36035</v>
      </c>
      <c r="B118" s="111">
        <v>35.9474</v>
      </c>
      <c r="C118" s="111">
        <f t="shared" si="2"/>
        <v>0.035947400000000004</v>
      </c>
      <c r="D118" s="111"/>
      <c r="E118" s="111"/>
    </row>
    <row r="119" spans="1:5" ht="14.25">
      <c r="A119" s="134">
        <v>36038</v>
      </c>
      <c r="B119" s="111">
        <v>38.2291</v>
      </c>
      <c r="C119" s="111">
        <f t="shared" si="2"/>
        <v>0.0382291</v>
      </c>
      <c r="D119" s="111"/>
      <c r="E119" s="111"/>
    </row>
    <row r="120" spans="1:5" ht="14.25">
      <c r="A120" s="134">
        <v>36039</v>
      </c>
      <c r="B120" s="111">
        <v>35.9871</v>
      </c>
      <c r="C120" s="111">
        <f t="shared" si="2"/>
        <v>0.0359871</v>
      </c>
      <c r="D120" s="111"/>
      <c r="E120" s="111"/>
    </row>
    <row r="121" spans="1:5" ht="14.25">
      <c r="A121" s="134">
        <v>36040</v>
      </c>
      <c r="B121" s="111">
        <v>36.9671</v>
      </c>
      <c r="C121" s="111">
        <f t="shared" si="2"/>
        <v>0.0369671</v>
      </c>
      <c r="D121" s="111"/>
      <c r="E121" s="111"/>
    </row>
    <row r="122" spans="1:5" ht="14.25">
      <c r="A122" s="134">
        <v>36041</v>
      </c>
      <c r="B122" s="111">
        <v>37.8918</v>
      </c>
      <c r="C122" s="111">
        <f t="shared" si="2"/>
        <v>0.0378918</v>
      </c>
      <c r="D122" s="111"/>
      <c r="E122" s="111"/>
    </row>
    <row r="123" spans="1:5" ht="14.25">
      <c r="A123" s="134">
        <v>36042</v>
      </c>
      <c r="B123" s="111">
        <v>37.8968</v>
      </c>
      <c r="C123" s="111">
        <f t="shared" si="2"/>
        <v>0.0378968</v>
      </c>
      <c r="D123" s="111"/>
      <c r="E123" s="111"/>
    </row>
    <row r="124" spans="1:5" ht="14.25">
      <c r="A124" s="134">
        <v>36045</v>
      </c>
      <c r="B124" s="111">
        <v>36.7803</v>
      </c>
      <c r="C124" s="111">
        <f t="shared" si="2"/>
        <v>0.036780299999999995</v>
      </c>
      <c r="D124" s="111"/>
      <c r="E124" s="111"/>
    </row>
    <row r="125" spans="1:5" ht="14.25">
      <c r="A125" s="134">
        <v>36046</v>
      </c>
      <c r="B125" s="111">
        <v>34.0995</v>
      </c>
      <c r="C125" s="111">
        <f t="shared" si="2"/>
        <v>0.0340995</v>
      </c>
      <c r="D125" s="111"/>
      <c r="E125" s="111"/>
    </row>
    <row r="126" spans="1:5" ht="14.25">
      <c r="A126" s="134">
        <v>36047</v>
      </c>
      <c r="B126" s="111">
        <v>33.8864</v>
      </c>
      <c r="C126" s="111">
        <f t="shared" si="2"/>
        <v>0.033886400000000004</v>
      </c>
      <c r="D126" s="111"/>
      <c r="E126" s="111"/>
    </row>
    <row r="127" spans="1:5" ht="14.25">
      <c r="A127" s="134">
        <v>36048</v>
      </c>
      <c r="B127" s="111">
        <v>34.4966</v>
      </c>
      <c r="C127" s="111">
        <f t="shared" si="2"/>
        <v>0.0344966</v>
      </c>
      <c r="D127" s="111"/>
      <c r="E127" s="111"/>
    </row>
    <row r="128" spans="1:5" ht="14.25">
      <c r="A128" s="134">
        <v>36049</v>
      </c>
      <c r="B128" s="111">
        <v>34.7494</v>
      </c>
      <c r="C128" s="111">
        <f t="shared" si="2"/>
        <v>0.0347494</v>
      </c>
      <c r="D128" s="111"/>
      <c r="E128" s="111"/>
    </row>
    <row r="129" spans="1:5" ht="14.25">
      <c r="A129" s="134">
        <v>36052</v>
      </c>
      <c r="B129" s="111">
        <v>32.8965</v>
      </c>
      <c r="C129" s="111">
        <f t="shared" si="2"/>
        <v>0.0328965</v>
      </c>
      <c r="D129" s="111"/>
      <c r="E129" s="111"/>
    </row>
    <row r="130" spans="1:5" ht="14.25">
      <c r="A130" s="134">
        <v>36053</v>
      </c>
      <c r="B130" s="111">
        <v>32.1779</v>
      </c>
      <c r="C130" s="111">
        <f t="shared" si="2"/>
        <v>0.0321779</v>
      </c>
      <c r="D130" s="111"/>
      <c r="E130" s="111"/>
    </row>
    <row r="131" spans="1:5" ht="14.25">
      <c r="A131" s="134">
        <v>36054</v>
      </c>
      <c r="B131" s="111">
        <v>32.8862</v>
      </c>
      <c r="C131" s="111">
        <f aca="true" t="shared" si="3" ref="C131:C194">B131*10^-3</f>
        <v>0.032886200000000004</v>
      </c>
      <c r="D131" s="111"/>
      <c r="E131" s="111"/>
    </row>
    <row r="132" spans="1:5" ht="14.25">
      <c r="A132" s="134">
        <v>36055</v>
      </c>
      <c r="B132" s="111">
        <v>33.2219</v>
      </c>
      <c r="C132" s="111">
        <f t="shared" si="3"/>
        <v>0.0332219</v>
      </c>
      <c r="D132" s="111"/>
      <c r="E132" s="111"/>
    </row>
    <row r="133" spans="1:5" ht="14.25">
      <c r="A133" s="134">
        <v>36056</v>
      </c>
      <c r="B133" s="111">
        <v>33.2587</v>
      </c>
      <c r="C133" s="111">
        <f t="shared" si="3"/>
        <v>0.033258699999999995</v>
      </c>
      <c r="D133" s="111"/>
      <c r="E133" s="111"/>
    </row>
    <row r="134" spans="1:5" ht="14.25">
      <c r="A134" s="134">
        <v>36059</v>
      </c>
      <c r="B134" s="111">
        <v>33.1909</v>
      </c>
      <c r="C134" s="111">
        <f t="shared" si="3"/>
        <v>0.0331909</v>
      </c>
      <c r="D134" s="111"/>
      <c r="E134" s="111"/>
    </row>
    <row r="135" spans="1:5" ht="14.25">
      <c r="A135" s="134">
        <v>36060</v>
      </c>
      <c r="B135" s="111">
        <v>34.5585</v>
      </c>
      <c r="C135" s="111">
        <f t="shared" si="3"/>
        <v>0.034558500000000006</v>
      </c>
      <c r="D135" s="111"/>
      <c r="E135" s="111"/>
    </row>
    <row r="136" spans="1:5" ht="14.25">
      <c r="A136" s="134">
        <v>36061</v>
      </c>
      <c r="B136" s="111">
        <v>34.4484</v>
      </c>
      <c r="C136" s="111">
        <f t="shared" si="3"/>
        <v>0.0344484</v>
      </c>
      <c r="D136" s="111"/>
      <c r="E136" s="111"/>
    </row>
    <row r="137" spans="1:5" ht="14.25">
      <c r="A137" s="134">
        <v>36062</v>
      </c>
      <c r="B137" s="111">
        <v>35.8763</v>
      </c>
      <c r="C137" s="111">
        <f t="shared" si="3"/>
        <v>0.0358763</v>
      </c>
      <c r="D137" s="111"/>
      <c r="E137" s="111"/>
    </row>
    <row r="138" spans="1:5" ht="14.25">
      <c r="A138" s="134">
        <v>36063</v>
      </c>
      <c r="B138" s="111">
        <v>35.4439</v>
      </c>
      <c r="C138" s="111">
        <f t="shared" si="3"/>
        <v>0.0354439</v>
      </c>
      <c r="D138" s="111"/>
      <c r="E138" s="111"/>
    </row>
    <row r="139" spans="1:5" ht="14.25">
      <c r="A139" s="134">
        <v>36066</v>
      </c>
      <c r="B139" s="111">
        <v>34.8433</v>
      </c>
      <c r="C139" s="111">
        <f t="shared" si="3"/>
        <v>0.0348433</v>
      </c>
      <c r="D139" s="111"/>
      <c r="E139" s="111"/>
    </row>
    <row r="140" spans="1:5" ht="14.25">
      <c r="A140" s="134">
        <v>36067</v>
      </c>
      <c r="B140" s="111">
        <v>35.0908</v>
      </c>
      <c r="C140" s="111">
        <f t="shared" si="3"/>
        <v>0.035090800000000005</v>
      </c>
      <c r="D140" s="111"/>
      <c r="E140" s="111"/>
    </row>
    <row r="141" spans="1:5" ht="14.25">
      <c r="A141" s="134">
        <v>36068</v>
      </c>
      <c r="B141" s="111">
        <v>34.5839</v>
      </c>
      <c r="C141" s="111">
        <f t="shared" si="3"/>
        <v>0.0345839</v>
      </c>
      <c r="D141" s="111"/>
      <c r="E141" s="111"/>
    </row>
    <row r="142" spans="1:5" ht="14.25">
      <c r="A142" s="134">
        <v>36069</v>
      </c>
      <c r="B142" s="111">
        <v>33.4609</v>
      </c>
      <c r="C142" s="111">
        <f t="shared" si="3"/>
        <v>0.0334609</v>
      </c>
      <c r="D142" s="111"/>
      <c r="E142" s="111"/>
    </row>
    <row r="143" spans="1:5" ht="14.25">
      <c r="A143" s="134">
        <v>36070</v>
      </c>
      <c r="B143" s="111">
        <v>32.1332</v>
      </c>
      <c r="C143" s="111">
        <f t="shared" si="3"/>
        <v>0.0321332</v>
      </c>
      <c r="D143" s="111"/>
      <c r="E143" s="111"/>
    </row>
    <row r="144" spans="1:5" ht="14.25">
      <c r="A144" s="134">
        <v>36073</v>
      </c>
      <c r="B144" s="111">
        <v>31.1705</v>
      </c>
      <c r="C144" s="111">
        <f t="shared" si="3"/>
        <v>0.0311705</v>
      </c>
      <c r="D144" s="111"/>
      <c r="E144" s="111"/>
    </row>
    <row r="145" spans="1:5" ht="14.25">
      <c r="A145" s="134">
        <v>36074</v>
      </c>
      <c r="B145" s="111">
        <v>32.755</v>
      </c>
      <c r="C145" s="111">
        <f t="shared" si="3"/>
        <v>0.032755000000000006</v>
      </c>
      <c r="D145" s="111"/>
      <c r="E145" s="111"/>
    </row>
    <row r="146" spans="1:5" ht="14.25">
      <c r="A146" s="134">
        <v>36075</v>
      </c>
      <c r="B146" s="111">
        <v>32.7726</v>
      </c>
      <c r="C146" s="111">
        <f t="shared" si="3"/>
        <v>0.0327726</v>
      </c>
      <c r="D146" s="111"/>
      <c r="E146" s="111"/>
    </row>
    <row r="147" spans="1:5" ht="14.25">
      <c r="A147" s="134">
        <v>36076</v>
      </c>
      <c r="B147" s="111">
        <v>32.6007</v>
      </c>
      <c r="C147" s="111">
        <f t="shared" si="3"/>
        <v>0.0326007</v>
      </c>
      <c r="D147" s="111"/>
      <c r="E147" s="111"/>
    </row>
    <row r="148" spans="1:5" ht="14.25">
      <c r="A148" s="134">
        <v>36077</v>
      </c>
      <c r="B148" s="111">
        <v>32.3739</v>
      </c>
      <c r="C148" s="111">
        <f t="shared" si="3"/>
        <v>0.0323739</v>
      </c>
      <c r="D148" s="111"/>
      <c r="E148" s="111"/>
    </row>
    <row r="149" spans="1:5" ht="14.25">
      <c r="A149" s="134">
        <v>36080</v>
      </c>
      <c r="B149" s="111">
        <v>31.7235</v>
      </c>
      <c r="C149" s="111">
        <f t="shared" si="3"/>
        <v>0.0317235</v>
      </c>
      <c r="D149" s="111"/>
      <c r="E149" s="111"/>
    </row>
    <row r="150" spans="1:5" ht="14.25">
      <c r="A150" s="134">
        <v>36081</v>
      </c>
      <c r="B150" s="111">
        <v>32.0271</v>
      </c>
      <c r="C150" s="111">
        <f t="shared" si="3"/>
        <v>0.032027099999999996</v>
      </c>
      <c r="D150" s="111"/>
      <c r="E150" s="111"/>
    </row>
    <row r="151" spans="1:5" ht="14.25">
      <c r="A151" s="134">
        <v>36082</v>
      </c>
      <c r="B151" s="111">
        <v>31.8425</v>
      </c>
      <c r="C151" s="111">
        <f t="shared" si="3"/>
        <v>0.0318425</v>
      </c>
      <c r="D151" s="111"/>
      <c r="E151" s="111"/>
    </row>
    <row r="152" spans="1:5" ht="14.25">
      <c r="A152" s="134">
        <v>36083</v>
      </c>
      <c r="B152" s="111">
        <v>32.3248</v>
      </c>
      <c r="C152" s="111">
        <f t="shared" si="3"/>
        <v>0.0323248</v>
      </c>
      <c r="D152" s="111"/>
      <c r="E152" s="111"/>
    </row>
    <row r="153" spans="1:5" ht="14.25">
      <c r="A153" s="134">
        <v>36084</v>
      </c>
      <c r="B153" s="111">
        <v>32.6072</v>
      </c>
      <c r="C153" s="111">
        <f t="shared" si="3"/>
        <v>0.0326072</v>
      </c>
      <c r="D153" s="111"/>
      <c r="E153" s="111"/>
    </row>
    <row r="154" spans="1:5" ht="14.25">
      <c r="A154" s="134">
        <v>36087</v>
      </c>
      <c r="B154" s="111">
        <v>30.7458</v>
      </c>
      <c r="C154" s="111">
        <f t="shared" si="3"/>
        <v>0.0307458</v>
      </c>
      <c r="D154" s="111"/>
      <c r="E154" s="111"/>
    </row>
    <row r="155" spans="1:5" ht="14.25">
      <c r="A155" s="134">
        <v>36088</v>
      </c>
      <c r="B155" s="111">
        <v>31.3828</v>
      </c>
      <c r="C155" s="111">
        <f t="shared" si="3"/>
        <v>0.0313828</v>
      </c>
      <c r="D155" s="111"/>
      <c r="E155" s="111"/>
    </row>
    <row r="156" spans="1:5" ht="14.25">
      <c r="A156" s="134">
        <v>36089</v>
      </c>
      <c r="B156" s="111">
        <v>30.6703</v>
      </c>
      <c r="C156" s="111">
        <f t="shared" si="3"/>
        <v>0.0306703</v>
      </c>
      <c r="D156" s="111"/>
      <c r="E156" s="111"/>
    </row>
    <row r="157" spans="1:5" ht="14.25">
      <c r="A157" s="134">
        <v>36090</v>
      </c>
      <c r="B157" s="111">
        <v>30.9847</v>
      </c>
      <c r="C157" s="111">
        <f t="shared" si="3"/>
        <v>0.0309847</v>
      </c>
      <c r="D157" s="111"/>
      <c r="E157" s="111"/>
    </row>
    <row r="158" spans="1:5" ht="14.25">
      <c r="A158" s="134">
        <v>36091</v>
      </c>
      <c r="B158" s="111">
        <v>31.0671</v>
      </c>
      <c r="C158" s="111">
        <f t="shared" si="3"/>
        <v>0.0310671</v>
      </c>
      <c r="D158" s="111"/>
      <c r="E158" s="111"/>
    </row>
    <row r="159" spans="1:5" ht="14.25">
      <c r="A159" s="134">
        <v>36094</v>
      </c>
      <c r="B159" s="111">
        <v>30.7555</v>
      </c>
      <c r="C159" s="111">
        <f t="shared" si="3"/>
        <v>0.0307555</v>
      </c>
      <c r="D159" s="111"/>
      <c r="E159" s="111"/>
    </row>
    <row r="160" spans="1:5" ht="14.25">
      <c r="A160" s="134">
        <v>36095</v>
      </c>
      <c r="B160" s="111">
        <v>31.9441</v>
      </c>
      <c r="C160" s="111">
        <f t="shared" si="3"/>
        <v>0.031944099999999996</v>
      </c>
      <c r="D160" s="111"/>
      <c r="E160" s="111"/>
    </row>
    <row r="161" spans="1:5" ht="14.25">
      <c r="A161" s="134">
        <v>36096</v>
      </c>
      <c r="B161" s="111">
        <v>31.6499</v>
      </c>
      <c r="C161" s="111">
        <f t="shared" si="3"/>
        <v>0.0316499</v>
      </c>
      <c r="D161" s="111"/>
      <c r="E161" s="111"/>
    </row>
    <row r="162" spans="1:5" ht="14.25">
      <c r="A162" s="134">
        <v>36097</v>
      </c>
      <c r="B162" s="111">
        <v>31.3688</v>
      </c>
      <c r="C162" s="111">
        <f t="shared" si="3"/>
        <v>0.0313688</v>
      </c>
      <c r="D162" s="111"/>
      <c r="E162" s="111"/>
    </row>
    <row r="163" spans="1:5" ht="14.25">
      <c r="A163" s="134">
        <v>36098</v>
      </c>
      <c r="B163" s="111">
        <v>30.7172</v>
      </c>
      <c r="C163" s="111">
        <f t="shared" si="3"/>
        <v>0.0307172</v>
      </c>
      <c r="D163" s="111"/>
      <c r="E163" s="111"/>
    </row>
    <row r="164" spans="1:5" ht="14.25">
      <c r="A164" s="134">
        <v>36101</v>
      </c>
      <c r="B164" s="111">
        <v>30.8492</v>
      </c>
      <c r="C164" s="111">
        <f t="shared" si="3"/>
        <v>0.0308492</v>
      </c>
      <c r="D164" s="111"/>
      <c r="E164" s="111"/>
    </row>
    <row r="165" spans="1:5" ht="14.25">
      <c r="A165" s="134">
        <v>36102</v>
      </c>
      <c r="B165" s="111">
        <v>30.2499</v>
      </c>
      <c r="C165" s="111">
        <f t="shared" si="3"/>
        <v>0.0302499</v>
      </c>
      <c r="D165" s="111"/>
      <c r="E165" s="111"/>
    </row>
    <row r="166" spans="1:5" ht="14.25">
      <c r="A166" s="134">
        <v>36103</v>
      </c>
      <c r="B166" s="111">
        <v>31.3126</v>
      </c>
      <c r="C166" s="111">
        <f t="shared" si="3"/>
        <v>0.0313126</v>
      </c>
      <c r="D166" s="111"/>
      <c r="E166" s="111"/>
    </row>
    <row r="167" spans="1:5" ht="14.25">
      <c r="A167" s="134">
        <v>36104</v>
      </c>
      <c r="B167" s="111">
        <v>31.6978</v>
      </c>
      <c r="C167" s="111">
        <f t="shared" si="3"/>
        <v>0.0316978</v>
      </c>
      <c r="D167" s="111"/>
      <c r="E167" s="111"/>
    </row>
    <row r="168" spans="1:5" ht="14.25">
      <c r="A168" s="134">
        <v>36105</v>
      </c>
      <c r="B168" s="111">
        <v>31.497</v>
      </c>
      <c r="C168" s="111">
        <f t="shared" si="3"/>
        <v>0.031497</v>
      </c>
      <c r="D168" s="111"/>
      <c r="E168" s="111"/>
    </row>
    <row r="169" spans="1:5" ht="14.25">
      <c r="A169" s="134">
        <v>36108</v>
      </c>
      <c r="B169" s="111">
        <v>31.577</v>
      </c>
      <c r="C169" s="111">
        <f t="shared" si="3"/>
        <v>0.031577</v>
      </c>
      <c r="D169" s="111"/>
      <c r="E169" s="111"/>
    </row>
    <row r="170" spans="1:5" ht="14.25">
      <c r="A170" s="134">
        <v>36109</v>
      </c>
      <c r="B170" s="111">
        <v>31.7361</v>
      </c>
      <c r="C170" s="111">
        <f t="shared" si="3"/>
        <v>0.0317361</v>
      </c>
      <c r="D170" s="111"/>
      <c r="E170" s="111"/>
    </row>
    <row r="171" spans="1:5" ht="14.25">
      <c r="A171" s="134">
        <v>36110</v>
      </c>
      <c r="B171" s="111">
        <v>30.4721</v>
      </c>
      <c r="C171" s="111">
        <f t="shared" si="3"/>
        <v>0.030472100000000002</v>
      </c>
      <c r="D171" s="111"/>
      <c r="E171" s="111"/>
    </row>
    <row r="172" spans="1:5" ht="14.25">
      <c r="A172" s="134">
        <v>36111</v>
      </c>
      <c r="B172" s="111">
        <v>31.8245</v>
      </c>
      <c r="C172" s="111">
        <f t="shared" si="3"/>
        <v>0.0318245</v>
      </c>
      <c r="D172" s="111"/>
      <c r="E172" s="111"/>
    </row>
    <row r="173" spans="1:5" ht="14.25">
      <c r="A173" s="134">
        <v>36112</v>
      </c>
      <c r="B173" s="111">
        <v>31.4217</v>
      </c>
      <c r="C173" s="111">
        <f t="shared" si="3"/>
        <v>0.031421700000000004</v>
      </c>
      <c r="D173" s="111"/>
      <c r="E173" s="111"/>
    </row>
    <row r="174" spans="1:5" ht="14.25">
      <c r="A174" s="134">
        <v>36115</v>
      </c>
      <c r="B174" s="111">
        <v>31.9144</v>
      </c>
      <c r="C174" s="111">
        <f t="shared" si="3"/>
        <v>0.0319144</v>
      </c>
      <c r="D174" s="111"/>
      <c r="E174" s="111"/>
    </row>
    <row r="175" spans="1:5" ht="14.25">
      <c r="A175" s="134">
        <v>36116</v>
      </c>
      <c r="B175" s="111">
        <v>33.0064</v>
      </c>
      <c r="C175" s="111">
        <f t="shared" si="3"/>
        <v>0.0330064</v>
      </c>
      <c r="D175" s="111"/>
      <c r="E175" s="111"/>
    </row>
    <row r="176" spans="1:5" ht="14.25">
      <c r="A176" s="134">
        <v>36117</v>
      </c>
      <c r="B176" s="111">
        <v>33.3176</v>
      </c>
      <c r="C176" s="111">
        <f t="shared" si="3"/>
        <v>0.0333176</v>
      </c>
      <c r="D176" s="111"/>
      <c r="E176" s="111"/>
    </row>
    <row r="177" spans="1:5" ht="14.25">
      <c r="A177" s="134">
        <v>36118</v>
      </c>
      <c r="B177" s="111">
        <v>33.3589</v>
      </c>
      <c r="C177" s="111">
        <f t="shared" si="3"/>
        <v>0.0333589</v>
      </c>
      <c r="D177" s="111"/>
      <c r="E177" s="111"/>
    </row>
    <row r="178" spans="1:5" ht="14.25">
      <c r="A178" s="134">
        <v>36119</v>
      </c>
      <c r="B178" s="111">
        <v>34.4143</v>
      </c>
      <c r="C178" s="111">
        <f t="shared" si="3"/>
        <v>0.034414299999999995</v>
      </c>
      <c r="D178" s="111"/>
      <c r="E178" s="111"/>
    </row>
    <row r="179" spans="1:5" ht="14.25">
      <c r="A179" s="134">
        <v>36122</v>
      </c>
      <c r="B179" s="111">
        <v>34.1355</v>
      </c>
      <c r="C179" s="111">
        <f t="shared" si="3"/>
        <v>0.0341355</v>
      </c>
      <c r="D179" s="111"/>
      <c r="E179" s="111"/>
    </row>
    <row r="180" spans="1:5" ht="14.25">
      <c r="A180" s="134">
        <v>36123</v>
      </c>
      <c r="B180" s="111">
        <v>34.4033</v>
      </c>
      <c r="C180" s="111">
        <f t="shared" si="3"/>
        <v>0.034403300000000005</v>
      </c>
      <c r="D180" s="111"/>
      <c r="E180" s="111"/>
    </row>
    <row r="181" spans="1:5" ht="14.25">
      <c r="A181" s="134">
        <v>36124</v>
      </c>
      <c r="B181" s="111">
        <v>37.8468</v>
      </c>
      <c r="C181" s="111">
        <f t="shared" si="3"/>
        <v>0.0378468</v>
      </c>
      <c r="D181" s="111"/>
      <c r="E181" s="111"/>
    </row>
    <row r="182" spans="1:5" ht="14.25">
      <c r="A182" s="134">
        <v>36125</v>
      </c>
      <c r="B182" s="111">
        <v>35.101</v>
      </c>
      <c r="C182" s="111">
        <f t="shared" si="3"/>
        <v>0.035101</v>
      </c>
      <c r="D182" s="111"/>
      <c r="E182" s="111"/>
    </row>
    <row r="183" spans="1:5" ht="14.25">
      <c r="A183" s="134">
        <v>36126</v>
      </c>
      <c r="B183" s="111">
        <v>35.4007</v>
      </c>
      <c r="C183" s="111">
        <f t="shared" si="3"/>
        <v>0.0354007</v>
      </c>
      <c r="D183" s="111"/>
      <c r="E183" s="111"/>
    </row>
    <row r="184" spans="1:5" ht="14.25">
      <c r="A184" s="134">
        <v>36129</v>
      </c>
      <c r="B184" s="111">
        <v>34.5845</v>
      </c>
      <c r="C184" s="111">
        <f t="shared" si="3"/>
        <v>0.0345845</v>
      </c>
      <c r="D184" s="111"/>
      <c r="E184" s="111"/>
    </row>
    <row r="185" spans="1:5" ht="14.25">
      <c r="A185" s="134">
        <v>36130</v>
      </c>
      <c r="B185" s="111">
        <v>34.9377</v>
      </c>
      <c r="C185" s="111">
        <f t="shared" si="3"/>
        <v>0.0349377</v>
      </c>
      <c r="D185" s="111"/>
      <c r="E185" s="111"/>
    </row>
    <row r="186" spans="1:5" ht="14.25">
      <c r="A186" s="134">
        <v>36131</v>
      </c>
      <c r="B186" s="111">
        <v>34.5335</v>
      </c>
      <c r="C186" s="111">
        <f t="shared" si="3"/>
        <v>0.034533499999999995</v>
      </c>
      <c r="D186" s="111"/>
      <c r="E186" s="111"/>
    </row>
    <row r="187" spans="1:5" ht="14.25">
      <c r="A187" s="134">
        <v>36132</v>
      </c>
      <c r="B187" s="111">
        <v>34.1494</v>
      </c>
      <c r="C187" s="111">
        <f t="shared" si="3"/>
        <v>0.0341494</v>
      </c>
      <c r="D187" s="111"/>
      <c r="E187" s="111"/>
    </row>
    <row r="188" spans="1:5" ht="14.25">
      <c r="A188" s="134">
        <v>36133</v>
      </c>
      <c r="B188" s="111">
        <v>35.2363</v>
      </c>
      <c r="C188" s="111">
        <f t="shared" si="3"/>
        <v>0.0352363</v>
      </c>
      <c r="D188" s="111"/>
      <c r="E188" s="111"/>
    </row>
    <row r="189" spans="1:5" ht="14.25">
      <c r="A189" s="134">
        <v>36136</v>
      </c>
      <c r="B189" s="111">
        <v>34.4932</v>
      </c>
      <c r="C189" s="111">
        <f t="shared" si="3"/>
        <v>0.0344932</v>
      </c>
      <c r="D189" s="111"/>
      <c r="E189" s="111"/>
    </row>
    <row r="190" spans="1:5" ht="14.25">
      <c r="A190" s="134">
        <v>36137</v>
      </c>
      <c r="B190" s="111">
        <v>35.2382</v>
      </c>
      <c r="C190" s="111">
        <f t="shared" si="3"/>
        <v>0.0352382</v>
      </c>
      <c r="D190" s="111"/>
      <c r="E190" s="111"/>
    </row>
    <row r="191" spans="1:5" ht="14.25">
      <c r="A191" s="134">
        <v>36138</v>
      </c>
      <c r="B191" s="111">
        <v>35.6839</v>
      </c>
      <c r="C191" s="111">
        <f t="shared" si="3"/>
        <v>0.035683900000000005</v>
      </c>
      <c r="D191" s="111"/>
      <c r="E191" s="111"/>
    </row>
    <row r="192" spans="1:5" ht="14.25">
      <c r="A192" s="134">
        <v>36139</v>
      </c>
      <c r="B192" s="111">
        <v>35.3062</v>
      </c>
      <c r="C192" s="111">
        <f t="shared" si="3"/>
        <v>0.035306199999999996</v>
      </c>
      <c r="D192" s="111"/>
      <c r="E192" s="111"/>
    </row>
    <row r="193" spans="1:5" ht="14.25">
      <c r="A193" s="134">
        <v>36140</v>
      </c>
      <c r="B193" s="111">
        <v>34.1382</v>
      </c>
      <c r="C193" s="111">
        <f t="shared" si="3"/>
        <v>0.0341382</v>
      </c>
      <c r="D193" s="111"/>
      <c r="E193" s="111"/>
    </row>
    <row r="194" spans="1:5" ht="14.25">
      <c r="A194" s="134">
        <v>36143</v>
      </c>
      <c r="B194" s="111">
        <v>34.0337</v>
      </c>
      <c r="C194" s="111">
        <f t="shared" si="3"/>
        <v>0.03403370000000001</v>
      </c>
      <c r="D194" s="111"/>
      <c r="E194" s="111"/>
    </row>
    <row r="195" spans="1:5" ht="14.25">
      <c r="A195" s="134">
        <v>36144</v>
      </c>
      <c r="B195" s="111">
        <v>31.9446</v>
      </c>
      <c r="C195" s="111">
        <f aca="true" t="shared" si="4" ref="C195:C258">B195*10^-3</f>
        <v>0.031944600000000004</v>
      </c>
      <c r="D195" s="111"/>
      <c r="E195" s="111"/>
    </row>
    <row r="196" spans="1:5" ht="14.25">
      <c r="A196" s="134">
        <v>36145</v>
      </c>
      <c r="B196" s="111">
        <v>32.3834</v>
      </c>
      <c r="C196" s="111">
        <f t="shared" si="4"/>
        <v>0.0323834</v>
      </c>
      <c r="D196" s="111"/>
      <c r="E196" s="111"/>
    </row>
    <row r="197" spans="1:5" ht="14.25">
      <c r="A197" s="134">
        <v>36146</v>
      </c>
      <c r="B197" s="111">
        <v>31.9342</v>
      </c>
      <c r="C197" s="111">
        <f t="shared" si="4"/>
        <v>0.0319342</v>
      </c>
      <c r="D197" s="111"/>
      <c r="E197" s="111"/>
    </row>
    <row r="198" spans="1:5" ht="14.25">
      <c r="A198" s="134">
        <v>36147</v>
      </c>
      <c r="B198" s="111">
        <v>32.4127</v>
      </c>
      <c r="C198" s="111">
        <f t="shared" si="4"/>
        <v>0.0324127</v>
      </c>
      <c r="D198" s="111"/>
      <c r="E198" s="111"/>
    </row>
    <row r="199" spans="1:5" ht="14.25">
      <c r="A199" s="134">
        <v>36150</v>
      </c>
      <c r="B199" s="111">
        <v>32.5518</v>
      </c>
      <c r="C199" s="111">
        <f t="shared" si="4"/>
        <v>0.0325518</v>
      </c>
      <c r="D199" s="111"/>
      <c r="E199" s="111"/>
    </row>
    <row r="200" spans="1:5" ht="14.25">
      <c r="A200" s="134">
        <v>36151</v>
      </c>
      <c r="B200" s="111">
        <v>33.9403</v>
      </c>
      <c r="C200" s="111">
        <f t="shared" si="4"/>
        <v>0.0339403</v>
      </c>
      <c r="D200" s="111"/>
      <c r="E200" s="111"/>
    </row>
    <row r="201" spans="1:5" ht="14.25">
      <c r="A201" s="134">
        <v>36152</v>
      </c>
      <c r="B201" s="111">
        <v>34.2912</v>
      </c>
      <c r="C201" s="111">
        <f t="shared" si="4"/>
        <v>0.0342912</v>
      </c>
      <c r="D201" s="111"/>
      <c r="E201" s="111"/>
    </row>
    <row r="202" spans="1:5" ht="14.25">
      <c r="A202" s="134">
        <v>36153</v>
      </c>
      <c r="B202" s="111">
        <v>32.9511</v>
      </c>
      <c r="C202" s="111">
        <f t="shared" si="4"/>
        <v>0.0329511</v>
      </c>
      <c r="D202" s="111"/>
      <c r="E202" s="111"/>
    </row>
    <row r="203" spans="1:5" ht="14.25">
      <c r="A203" s="134">
        <v>36157</v>
      </c>
      <c r="B203" s="111">
        <v>30.902</v>
      </c>
      <c r="C203" s="111">
        <f t="shared" si="4"/>
        <v>0.030902000000000002</v>
      </c>
      <c r="D203" s="111"/>
      <c r="E203" s="111"/>
    </row>
    <row r="204" spans="1:5" ht="14.25">
      <c r="A204" s="134">
        <v>36158</v>
      </c>
      <c r="B204" s="111">
        <v>30.6086</v>
      </c>
      <c r="C204" s="111">
        <f t="shared" si="4"/>
        <v>0.0306086</v>
      </c>
      <c r="D204" s="111"/>
      <c r="E204" s="111"/>
    </row>
    <row r="205" spans="1:5" ht="14.25">
      <c r="A205" s="134">
        <v>36159</v>
      </c>
      <c r="B205" s="111">
        <v>30.666</v>
      </c>
      <c r="C205" s="111">
        <f t="shared" si="4"/>
        <v>0.030666000000000002</v>
      </c>
      <c r="D205" s="111"/>
      <c r="E205" s="111"/>
    </row>
    <row r="206" spans="1:5" ht="14.25">
      <c r="A206" s="134">
        <v>36160</v>
      </c>
      <c r="B206" s="111">
        <v>28.675</v>
      </c>
      <c r="C206" s="111">
        <f t="shared" si="4"/>
        <v>0.028675000000000003</v>
      </c>
      <c r="D206" s="111"/>
      <c r="E206" s="111"/>
    </row>
    <row r="207" spans="1:5" ht="14.25">
      <c r="A207" s="134">
        <v>36164</v>
      </c>
      <c r="B207" s="111">
        <v>32.525</v>
      </c>
      <c r="C207" s="111">
        <f t="shared" si="4"/>
        <v>0.032525</v>
      </c>
      <c r="D207" s="111"/>
      <c r="E207" s="111"/>
    </row>
    <row r="208" spans="1:5" ht="14.25">
      <c r="A208" s="134">
        <v>36165</v>
      </c>
      <c r="B208" s="111">
        <v>32.1507</v>
      </c>
      <c r="C208" s="111">
        <f t="shared" si="4"/>
        <v>0.032150700000000004</v>
      </c>
      <c r="D208" s="111"/>
      <c r="E208" s="111"/>
    </row>
    <row r="209" spans="1:5" ht="14.25">
      <c r="A209" s="134">
        <v>36166</v>
      </c>
      <c r="B209" s="111">
        <v>32.2058</v>
      </c>
      <c r="C209" s="111">
        <f t="shared" si="4"/>
        <v>0.03220580000000001</v>
      </c>
      <c r="D209" s="111"/>
      <c r="E209" s="111"/>
    </row>
    <row r="210" spans="1:5" ht="14.25">
      <c r="A210" s="134">
        <v>36167</v>
      </c>
      <c r="B210" s="111">
        <v>31.9652</v>
      </c>
      <c r="C210" s="111">
        <f t="shared" si="4"/>
        <v>0.0319652</v>
      </c>
      <c r="D210" s="111"/>
      <c r="E210" s="111"/>
    </row>
    <row r="211" spans="1:5" ht="14.25">
      <c r="A211" s="134">
        <v>36168</v>
      </c>
      <c r="B211" s="111">
        <v>31.9911</v>
      </c>
      <c r="C211" s="111">
        <f t="shared" si="4"/>
        <v>0.0319911</v>
      </c>
      <c r="D211" s="111"/>
      <c r="E211" s="111"/>
    </row>
    <row r="212" spans="1:5" ht="14.25">
      <c r="A212" s="134">
        <v>36171</v>
      </c>
      <c r="B212" s="111">
        <v>34.1238</v>
      </c>
      <c r="C212" s="111">
        <f t="shared" si="4"/>
        <v>0.0341238</v>
      </c>
      <c r="D212" s="111"/>
      <c r="E212" s="111"/>
    </row>
    <row r="213" spans="1:5" ht="14.25">
      <c r="A213" s="134">
        <v>36172</v>
      </c>
      <c r="B213" s="111">
        <v>34.3328</v>
      </c>
      <c r="C213" s="111">
        <f t="shared" si="4"/>
        <v>0.0343328</v>
      </c>
      <c r="D213" s="111"/>
      <c r="E213" s="111"/>
    </row>
    <row r="214" spans="1:5" ht="14.25">
      <c r="A214" s="134">
        <v>36173</v>
      </c>
      <c r="B214" s="111">
        <v>34.5939</v>
      </c>
      <c r="C214" s="111">
        <f t="shared" si="4"/>
        <v>0.0345939</v>
      </c>
      <c r="D214" s="111"/>
      <c r="E214" s="111"/>
    </row>
    <row r="215" spans="1:5" ht="14.25">
      <c r="A215" s="134">
        <v>36174</v>
      </c>
      <c r="B215" s="111">
        <v>34.5078</v>
      </c>
      <c r="C215" s="111">
        <f t="shared" si="4"/>
        <v>0.034507800000000005</v>
      </c>
      <c r="D215" s="111"/>
      <c r="E215" s="111"/>
    </row>
    <row r="216" spans="1:5" ht="14.25">
      <c r="A216" s="134">
        <v>36175</v>
      </c>
      <c r="B216" s="111">
        <v>33.5091</v>
      </c>
      <c r="C216" s="111">
        <f t="shared" si="4"/>
        <v>0.0335091</v>
      </c>
      <c r="D216" s="111"/>
      <c r="E216" s="111"/>
    </row>
    <row r="217" spans="1:5" ht="14.25">
      <c r="A217" s="134">
        <v>36178</v>
      </c>
      <c r="B217" s="111">
        <v>35.3868</v>
      </c>
      <c r="C217" s="111">
        <f t="shared" si="4"/>
        <v>0.0353868</v>
      </c>
      <c r="D217" s="111"/>
      <c r="E217" s="111"/>
    </row>
    <row r="218" spans="1:5" ht="14.25">
      <c r="A218" s="134">
        <v>36179</v>
      </c>
      <c r="B218" s="111">
        <v>33.202</v>
      </c>
      <c r="C218" s="111">
        <f t="shared" si="4"/>
        <v>0.033201999999999995</v>
      </c>
      <c r="D218" s="111"/>
      <c r="E218" s="111"/>
    </row>
    <row r="219" spans="1:5" ht="14.25">
      <c r="A219" s="134">
        <v>36180</v>
      </c>
      <c r="B219" s="111">
        <v>31.9555</v>
      </c>
      <c r="C219" s="111">
        <f t="shared" si="4"/>
        <v>0.031955500000000005</v>
      </c>
      <c r="D219" s="111"/>
      <c r="E219" s="111"/>
    </row>
    <row r="220" spans="1:5" ht="14.25">
      <c r="A220" s="134">
        <v>36181</v>
      </c>
      <c r="B220" s="111">
        <v>32.4494</v>
      </c>
      <c r="C220" s="111">
        <f t="shared" si="4"/>
        <v>0.032449399999999996</v>
      </c>
      <c r="D220" s="111"/>
      <c r="E220" s="111"/>
    </row>
    <row r="221" spans="1:5" ht="14.25">
      <c r="A221" s="134">
        <v>36182</v>
      </c>
      <c r="B221" s="111">
        <v>31.8452</v>
      </c>
      <c r="C221" s="111">
        <f t="shared" si="4"/>
        <v>0.0318452</v>
      </c>
      <c r="D221" s="111"/>
      <c r="E221" s="111"/>
    </row>
    <row r="222" spans="1:5" ht="14.25">
      <c r="A222" s="134">
        <v>36185</v>
      </c>
      <c r="B222" s="111">
        <v>30.9506</v>
      </c>
      <c r="C222" s="111">
        <f t="shared" si="4"/>
        <v>0.0309506</v>
      </c>
      <c r="D222" s="111"/>
      <c r="E222" s="111"/>
    </row>
    <row r="223" spans="1:5" ht="14.25">
      <c r="A223" s="134">
        <v>36186</v>
      </c>
      <c r="B223" s="111">
        <v>31.5051</v>
      </c>
      <c r="C223" s="111">
        <f t="shared" si="4"/>
        <v>0.0315051</v>
      </c>
      <c r="D223" s="111"/>
      <c r="E223" s="111"/>
    </row>
    <row r="224" spans="1:5" ht="14.25">
      <c r="A224" s="134">
        <v>36187</v>
      </c>
      <c r="B224" s="111">
        <v>29.9808</v>
      </c>
      <c r="C224" s="111">
        <f t="shared" si="4"/>
        <v>0.0299808</v>
      </c>
      <c r="D224" s="111"/>
      <c r="E224" s="111"/>
    </row>
    <row r="225" spans="1:5" ht="14.25">
      <c r="A225" s="134">
        <v>36188</v>
      </c>
      <c r="B225" s="111">
        <v>30.6919</v>
      </c>
      <c r="C225" s="111">
        <f t="shared" si="4"/>
        <v>0.0306919</v>
      </c>
      <c r="D225" s="111"/>
      <c r="E225" s="111"/>
    </row>
    <row r="226" spans="1:5" ht="14.25">
      <c r="A226" s="134">
        <v>36189</v>
      </c>
      <c r="B226" s="111">
        <v>31.9671</v>
      </c>
      <c r="C226" s="111">
        <f t="shared" si="4"/>
        <v>0.0319671</v>
      </c>
      <c r="D226" s="111"/>
      <c r="E226" s="111"/>
    </row>
    <row r="227" spans="1:5" ht="14.25">
      <c r="A227" s="134">
        <v>36192</v>
      </c>
      <c r="B227" s="111">
        <v>33.0615</v>
      </c>
      <c r="C227" s="111">
        <f t="shared" si="4"/>
        <v>0.0330615</v>
      </c>
      <c r="D227" s="111"/>
      <c r="E227" s="111"/>
    </row>
    <row r="228" spans="1:5" ht="14.25">
      <c r="A228" s="134">
        <v>36193</v>
      </c>
      <c r="B228" s="111">
        <v>32.4778</v>
      </c>
      <c r="C228" s="111">
        <f t="shared" si="4"/>
        <v>0.0324778</v>
      </c>
      <c r="D228" s="111"/>
      <c r="E228" s="111"/>
    </row>
    <row r="229" spans="1:5" ht="14.25">
      <c r="A229" s="134">
        <v>36194</v>
      </c>
      <c r="B229" s="111">
        <v>31.4227</v>
      </c>
      <c r="C229" s="111">
        <f t="shared" si="4"/>
        <v>0.0314227</v>
      </c>
      <c r="D229" s="111"/>
      <c r="E229" s="111"/>
    </row>
    <row r="230" spans="1:5" ht="14.25">
      <c r="A230" s="134">
        <v>36195</v>
      </c>
      <c r="B230" s="111">
        <v>31.2743</v>
      </c>
      <c r="C230" s="111">
        <f t="shared" si="4"/>
        <v>0.0312743</v>
      </c>
      <c r="D230" s="111"/>
      <c r="E230" s="111"/>
    </row>
    <row r="231" spans="1:5" ht="14.25">
      <c r="A231" s="134">
        <v>36196</v>
      </c>
      <c r="B231" s="111">
        <v>30.6284</v>
      </c>
      <c r="C231" s="111">
        <f t="shared" si="4"/>
        <v>0.0306284</v>
      </c>
      <c r="D231" s="111"/>
      <c r="E231" s="111"/>
    </row>
    <row r="232" spans="1:5" ht="14.25">
      <c r="A232" s="134">
        <v>36199</v>
      </c>
      <c r="B232" s="111">
        <v>29.7182</v>
      </c>
      <c r="C232" s="111">
        <f t="shared" si="4"/>
        <v>0.0297182</v>
      </c>
      <c r="D232" s="111"/>
      <c r="E232" s="111"/>
    </row>
    <row r="233" spans="1:5" ht="14.25">
      <c r="A233" s="134">
        <v>36200</v>
      </c>
      <c r="B233" s="111">
        <v>30.4198</v>
      </c>
      <c r="C233" s="111">
        <f t="shared" si="4"/>
        <v>0.0304198</v>
      </c>
      <c r="D233" s="111"/>
      <c r="E233" s="111"/>
    </row>
    <row r="234" spans="1:5" ht="14.25">
      <c r="A234" s="134">
        <v>36201</v>
      </c>
      <c r="B234" s="111">
        <v>31.8031</v>
      </c>
      <c r="C234" s="111">
        <f t="shared" si="4"/>
        <v>0.0318031</v>
      </c>
      <c r="D234" s="111"/>
      <c r="E234" s="111"/>
    </row>
    <row r="235" spans="1:5" ht="14.25">
      <c r="A235" s="134">
        <v>36202</v>
      </c>
      <c r="B235" s="111">
        <v>30.6058</v>
      </c>
      <c r="C235" s="111">
        <f t="shared" si="4"/>
        <v>0.0306058</v>
      </c>
      <c r="D235" s="111"/>
      <c r="E235" s="111"/>
    </row>
    <row r="236" spans="1:5" ht="14.25">
      <c r="A236" s="134">
        <v>36203</v>
      </c>
      <c r="B236" s="111">
        <v>29.2352</v>
      </c>
      <c r="C236" s="111">
        <f t="shared" si="4"/>
        <v>0.0292352</v>
      </c>
      <c r="D236" s="111"/>
      <c r="E236" s="111"/>
    </row>
    <row r="237" spans="1:5" ht="14.25">
      <c r="A237" s="134">
        <v>36206</v>
      </c>
      <c r="B237" s="111">
        <v>29.8084</v>
      </c>
      <c r="C237" s="111">
        <f t="shared" si="4"/>
        <v>0.0298084</v>
      </c>
      <c r="D237" s="111"/>
      <c r="E237" s="111"/>
    </row>
    <row r="238" spans="1:5" ht="14.25">
      <c r="A238" s="134">
        <v>36207</v>
      </c>
      <c r="B238" s="111">
        <v>30.4772</v>
      </c>
      <c r="C238" s="111">
        <f t="shared" si="4"/>
        <v>0.0304772</v>
      </c>
      <c r="D238" s="111"/>
      <c r="E238" s="111"/>
    </row>
    <row r="239" spans="1:5" ht="14.25">
      <c r="A239" s="134">
        <v>36208</v>
      </c>
      <c r="B239" s="111">
        <v>31.1708</v>
      </c>
      <c r="C239" s="111">
        <f t="shared" si="4"/>
        <v>0.031170800000000002</v>
      </c>
      <c r="D239" s="111"/>
      <c r="E239" s="111"/>
    </row>
    <row r="240" spans="1:5" ht="14.25">
      <c r="A240" s="134">
        <v>36209</v>
      </c>
      <c r="B240" s="111">
        <v>31.0522</v>
      </c>
      <c r="C240" s="111">
        <f t="shared" si="4"/>
        <v>0.0310522</v>
      </c>
      <c r="D240" s="111"/>
      <c r="E240" s="111"/>
    </row>
    <row r="241" spans="1:5" ht="14.25">
      <c r="A241" s="134">
        <v>36210</v>
      </c>
      <c r="B241" s="111">
        <v>30.8774</v>
      </c>
      <c r="C241" s="111">
        <f t="shared" si="4"/>
        <v>0.030877400000000003</v>
      </c>
      <c r="D241" s="111"/>
      <c r="E241" s="111"/>
    </row>
    <row r="242" spans="1:5" ht="14.25">
      <c r="A242" s="134">
        <v>36213</v>
      </c>
      <c r="B242" s="111">
        <v>31.1639</v>
      </c>
      <c r="C242" s="111">
        <f t="shared" si="4"/>
        <v>0.0311639</v>
      </c>
      <c r="D242" s="111"/>
      <c r="E242" s="111"/>
    </row>
    <row r="243" spans="1:5" ht="14.25">
      <c r="A243" s="134">
        <v>36214</v>
      </c>
      <c r="B243" s="111">
        <v>32.2714</v>
      </c>
      <c r="C243" s="111">
        <f t="shared" si="4"/>
        <v>0.0322714</v>
      </c>
      <c r="D243" s="111"/>
      <c r="E243" s="111"/>
    </row>
    <row r="244" spans="1:5" ht="14.25">
      <c r="A244" s="134">
        <v>36215</v>
      </c>
      <c r="B244" s="111">
        <v>32.9528</v>
      </c>
      <c r="C244" s="111">
        <f t="shared" si="4"/>
        <v>0.032952800000000004</v>
      </c>
      <c r="D244" s="111"/>
      <c r="E244" s="111"/>
    </row>
    <row r="245" spans="1:5" ht="14.25">
      <c r="A245" s="134">
        <v>36216</v>
      </c>
      <c r="B245" s="111">
        <v>32.5366</v>
      </c>
      <c r="C245" s="111">
        <f t="shared" si="4"/>
        <v>0.0325366</v>
      </c>
      <c r="D245" s="111"/>
      <c r="E245" s="111"/>
    </row>
    <row r="246" spans="1:5" ht="14.25">
      <c r="A246" s="134">
        <v>36217</v>
      </c>
      <c r="B246" s="111">
        <v>31.8636</v>
      </c>
      <c r="C246" s="111">
        <f t="shared" si="4"/>
        <v>0.031863600000000006</v>
      </c>
      <c r="D246" s="111"/>
      <c r="E246" s="111"/>
    </row>
    <row r="247" spans="1:5" ht="14.25">
      <c r="A247" s="134">
        <v>36220</v>
      </c>
      <c r="B247" s="111">
        <v>31.9508</v>
      </c>
      <c r="C247" s="111">
        <f t="shared" si="4"/>
        <v>0.0319508</v>
      </c>
      <c r="D247" s="111"/>
      <c r="E247" s="111"/>
    </row>
    <row r="248" spans="1:5" ht="14.25">
      <c r="A248" s="134">
        <v>36221</v>
      </c>
      <c r="B248" s="111">
        <v>31.1487</v>
      </c>
      <c r="C248" s="111">
        <f t="shared" si="4"/>
        <v>0.0311487</v>
      </c>
      <c r="D248" s="111"/>
      <c r="E248" s="111"/>
    </row>
    <row r="249" spans="1:5" ht="14.25">
      <c r="A249" s="134">
        <v>36222</v>
      </c>
      <c r="B249" s="111">
        <v>30.8701</v>
      </c>
      <c r="C249" s="111">
        <f t="shared" si="4"/>
        <v>0.0308701</v>
      </c>
      <c r="D249" s="111"/>
      <c r="E249" s="111"/>
    </row>
    <row r="250" spans="1:5" ht="14.25">
      <c r="A250" s="134">
        <v>36223</v>
      </c>
      <c r="B250" s="111">
        <v>30.0349</v>
      </c>
      <c r="C250" s="111">
        <f t="shared" si="4"/>
        <v>0.0300349</v>
      </c>
      <c r="D250" s="111"/>
      <c r="E250" s="111"/>
    </row>
    <row r="251" spans="1:5" ht="14.25">
      <c r="A251" s="134">
        <v>36224</v>
      </c>
      <c r="B251" s="111">
        <v>29.2946</v>
      </c>
      <c r="C251" s="111">
        <f t="shared" si="4"/>
        <v>0.0292946</v>
      </c>
      <c r="D251" s="111"/>
      <c r="E251" s="111"/>
    </row>
    <row r="252" spans="1:5" ht="14.25">
      <c r="A252" s="134">
        <v>36227</v>
      </c>
      <c r="B252" s="111">
        <v>29.642</v>
      </c>
      <c r="C252" s="111">
        <f t="shared" si="4"/>
        <v>0.029642</v>
      </c>
      <c r="D252" s="111"/>
      <c r="E252" s="111"/>
    </row>
    <row r="253" spans="1:5" ht="14.25">
      <c r="A253" s="134">
        <v>36228</v>
      </c>
      <c r="B253" s="111">
        <v>29.6872</v>
      </c>
      <c r="C253" s="111">
        <f t="shared" si="4"/>
        <v>0.0296872</v>
      </c>
      <c r="D253" s="111"/>
      <c r="E253" s="111"/>
    </row>
    <row r="254" spans="1:5" ht="14.25">
      <c r="A254" s="134">
        <v>36229</v>
      </c>
      <c r="B254" s="111">
        <v>29.5336</v>
      </c>
      <c r="C254" s="111">
        <f t="shared" si="4"/>
        <v>0.0295336</v>
      </c>
      <c r="D254" s="111"/>
      <c r="E254" s="111"/>
    </row>
    <row r="255" spans="1:5" ht="14.25">
      <c r="A255" s="134">
        <v>36230</v>
      </c>
      <c r="B255" s="111">
        <v>28.9951</v>
      </c>
      <c r="C255" s="111">
        <f t="shared" si="4"/>
        <v>0.028995100000000003</v>
      </c>
      <c r="D255" s="111"/>
      <c r="E255" s="111"/>
    </row>
    <row r="256" spans="1:5" ht="14.25">
      <c r="A256" s="134">
        <v>36231</v>
      </c>
      <c r="B256" s="111">
        <v>28.7189</v>
      </c>
      <c r="C256" s="111">
        <f t="shared" si="4"/>
        <v>0.028718900000000002</v>
      </c>
      <c r="D256" s="111"/>
      <c r="E256" s="111"/>
    </row>
    <row r="257" spans="1:5" ht="14.25">
      <c r="A257" s="134">
        <v>36234</v>
      </c>
      <c r="B257" s="111">
        <v>28.177</v>
      </c>
      <c r="C257" s="111">
        <f t="shared" si="4"/>
        <v>0.028177</v>
      </c>
      <c r="D257" s="111"/>
      <c r="E257" s="111"/>
    </row>
    <row r="258" spans="1:5" ht="14.25">
      <c r="A258" s="134">
        <v>36235</v>
      </c>
      <c r="B258" s="111">
        <v>27.6415</v>
      </c>
      <c r="C258" s="111">
        <f t="shared" si="4"/>
        <v>0.027641500000000003</v>
      </c>
      <c r="D258" s="111"/>
      <c r="E258" s="111"/>
    </row>
    <row r="259" spans="1:5" ht="14.25">
      <c r="A259" s="134">
        <v>36236</v>
      </c>
      <c r="B259" s="111">
        <v>26.9779</v>
      </c>
      <c r="C259" s="111">
        <f aca="true" t="shared" si="5" ref="C259:C322">B259*10^-3</f>
        <v>0.026977900000000003</v>
      </c>
      <c r="D259" s="111"/>
      <c r="E259" s="111"/>
    </row>
    <row r="260" spans="1:5" ht="14.25">
      <c r="A260" s="134">
        <v>36237</v>
      </c>
      <c r="B260" s="111">
        <v>27.0255</v>
      </c>
      <c r="C260" s="111">
        <f t="shared" si="5"/>
        <v>0.0270255</v>
      </c>
      <c r="D260" s="111"/>
      <c r="E260" s="111"/>
    </row>
    <row r="261" spans="1:5" ht="14.25">
      <c r="A261" s="134">
        <v>36238</v>
      </c>
      <c r="B261" s="111">
        <v>27.4719</v>
      </c>
      <c r="C261" s="111">
        <f t="shared" si="5"/>
        <v>0.0274719</v>
      </c>
      <c r="D261" s="111"/>
      <c r="E261" s="111"/>
    </row>
    <row r="262" spans="1:5" ht="14.25">
      <c r="A262" s="134">
        <v>36241</v>
      </c>
      <c r="B262" s="111">
        <v>27.2403</v>
      </c>
      <c r="C262" s="111">
        <f t="shared" si="5"/>
        <v>0.027240300000000002</v>
      </c>
      <c r="D262" s="111"/>
      <c r="E262" s="111"/>
    </row>
    <row r="263" spans="1:5" ht="14.25">
      <c r="A263" s="134">
        <v>36242</v>
      </c>
      <c r="B263" s="111">
        <v>28.6051</v>
      </c>
      <c r="C263" s="111">
        <f t="shared" si="5"/>
        <v>0.0286051</v>
      </c>
      <c r="D263" s="111"/>
      <c r="E263" s="111"/>
    </row>
    <row r="264" spans="1:5" ht="14.25">
      <c r="A264" s="134">
        <v>36243</v>
      </c>
      <c r="B264" s="111">
        <v>28.5386</v>
      </c>
      <c r="C264" s="111">
        <f t="shared" si="5"/>
        <v>0.0285386</v>
      </c>
      <c r="D264" s="111"/>
      <c r="E264" s="111"/>
    </row>
    <row r="265" spans="1:5" ht="14.25">
      <c r="A265" s="134">
        <v>36244</v>
      </c>
      <c r="B265" s="111">
        <v>27.7072</v>
      </c>
      <c r="C265" s="111">
        <f t="shared" si="5"/>
        <v>0.0277072</v>
      </c>
      <c r="D265" s="111"/>
      <c r="E265" s="111"/>
    </row>
    <row r="266" spans="1:5" ht="14.25">
      <c r="A266" s="134">
        <v>36245</v>
      </c>
      <c r="B266" s="111">
        <v>26.9979</v>
      </c>
      <c r="C266" s="111">
        <f t="shared" si="5"/>
        <v>0.026997900000000002</v>
      </c>
      <c r="D266" s="111"/>
      <c r="E266" s="111"/>
    </row>
    <row r="267" spans="1:5" ht="14.25">
      <c r="A267" s="134">
        <v>36248</v>
      </c>
      <c r="B267" s="111">
        <v>26.8643</v>
      </c>
      <c r="C267" s="111">
        <f t="shared" si="5"/>
        <v>0.0268643</v>
      </c>
      <c r="D267" s="111"/>
      <c r="E267" s="111"/>
    </row>
    <row r="268" spans="1:5" ht="14.25">
      <c r="A268" s="134">
        <v>36249</v>
      </c>
      <c r="B268" s="111">
        <v>27.0657</v>
      </c>
      <c r="C268" s="111">
        <f t="shared" si="5"/>
        <v>0.0270657</v>
      </c>
      <c r="D268" s="111"/>
      <c r="E268" s="111"/>
    </row>
    <row r="269" spans="1:5" ht="14.25">
      <c r="A269" s="134">
        <v>36250</v>
      </c>
      <c r="B269" s="111">
        <v>27.8932</v>
      </c>
      <c r="C269" s="111">
        <f t="shared" si="5"/>
        <v>0.0278932</v>
      </c>
      <c r="D269" s="111"/>
      <c r="E269" s="111"/>
    </row>
    <row r="270" spans="1:5" ht="14.25">
      <c r="A270" s="134">
        <v>36251</v>
      </c>
      <c r="B270" s="111">
        <v>25.0788</v>
      </c>
      <c r="C270" s="111">
        <f t="shared" si="5"/>
        <v>0.025078800000000002</v>
      </c>
      <c r="D270" s="111"/>
      <c r="E270" s="111"/>
    </row>
    <row r="271" spans="1:5" ht="14.25">
      <c r="A271" s="134">
        <v>36256</v>
      </c>
      <c r="B271" s="111">
        <v>26.0039</v>
      </c>
      <c r="C271" s="111">
        <f t="shared" si="5"/>
        <v>0.026003900000000003</v>
      </c>
      <c r="D271" s="111"/>
      <c r="E271" s="111"/>
    </row>
    <row r="272" spans="1:5" ht="14.25">
      <c r="A272" s="134">
        <v>36257</v>
      </c>
      <c r="B272" s="111">
        <v>24.9435</v>
      </c>
      <c r="C272" s="111">
        <f t="shared" si="5"/>
        <v>0.0249435</v>
      </c>
      <c r="D272" s="111"/>
      <c r="E272" s="111"/>
    </row>
    <row r="273" spans="1:5" ht="14.25">
      <c r="A273" s="134">
        <v>36258</v>
      </c>
      <c r="B273" s="111">
        <v>26.8927</v>
      </c>
      <c r="C273" s="111">
        <f t="shared" si="5"/>
        <v>0.026892700000000002</v>
      </c>
      <c r="D273" s="111"/>
      <c r="E273" s="111"/>
    </row>
    <row r="274" spans="1:5" ht="14.25">
      <c r="A274" s="134">
        <v>36259</v>
      </c>
      <c r="B274" s="111">
        <v>26.5318</v>
      </c>
      <c r="C274" s="111">
        <f t="shared" si="5"/>
        <v>0.0265318</v>
      </c>
      <c r="D274" s="111"/>
      <c r="E274" s="111"/>
    </row>
    <row r="275" spans="1:5" ht="14.25">
      <c r="A275" s="134">
        <v>36262</v>
      </c>
      <c r="B275" s="111">
        <v>26.2668</v>
      </c>
      <c r="C275" s="111">
        <f t="shared" si="5"/>
        <v>0.0262668</v>
      </c>
      <c r="D275" s="111"/>
      <c r="E275" s="111"/>
    </row>
    <row r="276" spans="1:5" ht="14.25">
      <c r="A276" s="134">
        <v>36263</v>
      </c>
      <c r="B276" s="111">
        <v>26.3336</v>
      </c>
      <c r="C276" s="111">
        <f t="shared" si="5"/>
        <v>0.026333600000000002</v>
      </c>
      <c r="D276" s="111"/>
      <c r="E276" s="111"/>
    </row>
    <row r="277" spans="1:5" ht="14.25">
      <c r="A277" s="134">
        <v>36264</v>
      </c>
      <c r="B277" s="111">
        <v>27.2611</v>
      </c>
      <c r="C277" s="111">
        <f t="shared" si="5"/>
        <v>0.0272611</v>
      </c>
      <c r="D277" s="111"/>
      <c r="E277" s="111"/>
    </row>
    <row r="278" spans="1:5" ht="14.25">
      <c r="A278" s="134">
        <v>36265</v>
      </c>
      <c r="B278" s="111">
        <v>27.4866</v>
      </c>
      <c r="C278" s="111">
        <f t="shared" si="5"/>
        <v>0.0274866</v>
      </c>
      <c r="D278" s="111"/>
      <c r="E278" s="111"/>
    </row>
    <row r="279" spans="1:5" ht="14.25">
      <c r="A279" s="134">
        <v>36266</v>
      </c>
      <c r="B279" s="111">
        <v>27.7404</v>
      </c>
      <c r="C279" s="111">
        <f t="shared" si="5"/>
        <v>0.027740400000000002</v>
      </c>
      <c r="D279" s="111"/>
      <c r="E279" s="111"/>
    </row>
    <row r="280" spans="1:5" ht="14.25">
      <c r="A280" s="134">
        <v>36269</v>
      </c>
      <c r="B280" s="111">
        <v>27.5279</v>
      </c>
      <c r="C280" s="111">
        <f t="shared" si="5"/>
        <v>0.0275279</v>
      </c>
      <c r="D280" s="111"/>
      <c r="E280" s="111"/>
    </row>
    <row r="281" spans="1:5" ht="14.25">
      <c r="A281" s="134">
        <v>36270</v>
      </c>
      <c r="B281" s="111">
        <v>28.0246</v>
      </c>
      <c r="C281" s="111">
        <f t="shared" si="5"/>
        <v>0.0280246</v>
      </c>
      <c r="D281" s="111"/>
      <c r="E281" s="111"/>
    </row>
    <row r="282" spans="1:5" ht="14.25">
      <c r="A282" s="134">
        <v>36271</v>
      </c>
      <c r="B282" s="111">
        <v>29.1691</v>
      </c>
      <c r="C282" s="111">
        <f t="shared" si="5"/>
        <v>0.0291691</v>
      </c>
      <c r="D282" s="111"/>
      <c r="E282" s="111"/>
    </row>
    <row r="283" spans="1:5" ht="14.25">
      <c r="A283" s="134">
        <v>36272</v>
      </c>
      <c r="B283" s="111">
        <v>28.4379</v>
      </c>
      <c r="C283" s="111">
        <f t="shared" si="5"/>
        <v>0.0284379</v>
      </c>
      <c r="D283" s="111"/>
      <c r="E283" s="111"/>
    </row>
    <row r="284" spans="1:5" ht="14.25">
      <c r="A284" s="134">
        <v>36273</v>
      </c>
      <c r="B284" s="111">
        <v>27.1108</v>
      </c>
      <c r="C284" s="111">
        <f t="shared" si="5"/>
        <v>0.0271108</v>
      </c>
      <c r="D284" s="111"/>
      <c r="E284" s="111"/>
    </row>
    <row r="285" spans="1:5" ht="14.25">
      <c r="A285" s="134">
        <v>36276</v>
      </c>
      <c r="B285" s="111">
        <v>27.1932</v>
      </c>
      <c r="C285" s="111">
        <f t="shared" si="5"/>
        <v>0.0271932</v>
      </c>
      <c r="D285" s="111"/>
      <c r="E285" s="111"/>
    </row>
    <row r="286" spans="1:5" ht="14.25">
      <c r="A286" s="134">
        <v>36277</v>
      </c>
      <c r="B286" s="111">
        <v>26.9959</v>
      </c>
      <c r="C286" s="111">
        <f t="shared" si="5"/>
        <v>0.0269959</v>
      </c>
      <c r="D286" s="111"/>
      <c r="E286" s="111"/>
    </row>
    <row r="287" spans="1:5" ht="14.25">
      <c r="A287" s="134">
        <v>36278</v>
      </c>
      <c r="B287" s="111">
        <v>25.8892</v>
      </c>
      <c r="C287" s="111">
        <f t="shared" si="5"/>
        <v>0.0258892</v>
      </c>
      <c r="D287" s="111"/>
      <c r="E287" s="111"/>
    </row>
    <row r="288" spans="1:5" ht="14.25">
      <c r="A288" s="134">
        <v>36279</v>
      </c>
      <c r="B288" s="111">
        <v>25.2945</v>
      </c>
      <c r="C288" s="111">
        <f t="shared" si="5"/>
        <v>0.0252945</v>
      </c>
      <c r="D288" s="111"/>
      <c r="E288" s="111"/>
    </row>
    <row r="289" spans="1:5" ht="14.25">
      <c r="A289" s="134">
        <v>36280</v>
      </c>
      <c r="B289" s="111">
        <v>23.1459</v>
      </c>
      <c r="C289" s="111">
        <f t="shared" si="5"/>
        <v>0.0231459</v>
      </c>
      <c r="D289" s="111"/>
      <c r="E289" s="111"/>
    </row>
    <row r="290" spans="1:5" ht="14.25">
      <c r="A290" s="134">
        <v>36283</v>
      </c>
      <c r="B290" s="111">
        <v>23.2689</v>
      </c>
      <c r="C290" s="111">
        <f t="shared" si="5"/>
        <v>0.0232689</v>
      </c>
      <c r="D290" s="111"/>
      <c r="E290" s="111"/>
    </row>
    <row r="291" spans="1:5" ht="14.25">
      <c r="A291" s="134">
        <v>36284</v>
      </c>
      <c r="B291" s="111">
        <v>23.124</v>
      </c>
      <c r="C291" s="111">
        <f t="shared" si="5"/>
        <v>0.023124</v>
      </c>
      <c r="D291" s="111"/>
      <c r="E291" s="111"/>
    </row>
    <row r="292" spans="1:5" ht="14.25">
      <c r="A292" s="134">
        <v>36285</v>
      </c>
      <c r="B292" s="111">
        <v>21.8999</v>
      </c>
      <c r="C292" s="111">
        <f t="shared" si="5"/>
        <v>0.0218999</v>
      </c>
      <c r="D292" s="111"/>
      <c r="E292" s="111"/>
    </row>
    <row r="293" spans="1:5" ht="14.25">
      <c r="A293" s="134">
        <v>36286</v>
      </c>
      <c r="B293" s="111">
        <v>20.5726</v>
      </c>
      <c r="C293" s="111">
        <f t="shared" si="5"/>
        <v>0.020572600000000003</v>
      </c>
      <c r="D293" s="111"/>
      <c r="E293" s="111"/>
    </row>
    <row r="294" spans="1:5" ht="14.25">
      <c r="A294" s="134">
        <v>36287</v>
      </c>
      <c r="B294" s="111">
        <v>20.1872</v>
      </c>
      <c r="C294" s="111">
        <f t="shared" si="5"/>
        <v>0.020187200000000002</v>
      </c>
      <c r="D294" s="111"/>
      <c r="E294" s="111"/>
    </row>
    <row r="295" spans="1:5" ht="14.25">
      <c r="A295" s="134">
        <v>36290</v>
      </c>
      <c r="B295" s="111">
        <v>20.7841</v>
      </c>
      <c r="C295" s="111">
        <f t="shared" si="5"/>
        <v>0.0207841</v>
      </c>
      <c r="D295" s="111"/>
      <c r="E295" s="111"/>
    </row>
    <row r="296" spans="1:5" ht="14.25">
      <c r="A296" s="134">
        <v>36291</v>
      </c>
      <c r="B296" s="111">
        <v>20.1443</v>
      </c>
      <c r="C296" s="111">
        <f t="shared" si="5"/>
        <v>0.0201443</v>
      </c>
      <c r="D296" s="111"/>
      <c r="E296" s="111"/>
    </row>
    <row r="297" spans="1:5" ht="14.25">
      <c r="A297" s="134">
        <v>36292</v>
      </c>
      <c r="B297" s="111">
        <v>20.3812</v>
      </c>
      <c r="C297" s="111">
        <f t="shared" si="5"/>
        <v>0.0203812</v>
      </c>
      <c r="D297" s="111"/>
      <c r="E297" s="111"/>
    </row>
    <row r="298" spans="1:5" ht="14.25">
      <c r="A298" s="134">
        <v>36294</v>
      </c>
      <c r="B298" s="111">
        <v>16.4001</v>
      </c>
      <c r="C298" s="111">
        <f t="shared" si="5"/>
        <v>0.016400099999999997</v>
      </c>
      <c r="D298" s="111"/>
      <c r="E298" s="111"/>
    </row>
    <row r="299" spans="1:5" ht="14.25">
      <c r="A299" s="134">
        <v>36297</v>
      </c>
      <c r="B299" s="111">
        <v>19.8148</v>
      </c>
      <c r="C299" s="111">
        <f t="shared" si="5"/>
        <v>0.0198148</v>
      </c>
      <c r="D299" s="111"/>
      <c r="E299" s="111"/>
    </row>
    <row r="300" spans="1:5" ht="14.25">
      <c r="A300" s="134">
        <v>36298</v>
      </c>
      <c r="B300" s="111">
        <v>20.3739</v>
      </c>
      <c r="C300" s="111">
        <f t="shared" si="5"/>
        <v>0.0203739</v>
      </c>
      <c r="D300" s="111"/>
      <c r="E300" s="111"/>
    </row>
    <row r="301" spans="1:5" ht="14.25">
      <c r="A301" s="134">
        <v>36299</v>
      </c>
      <c r="B301" s="111">
        <v>20.2763</v>
      </c>
      <c r="C301" s="111">
        <f t="shared" si="5"/>
        <v>0.0202763</v>
      </c>
      <c r="D301" s="111"/>
      <c r="E301" s="111"/>
    </row>
    <row r="302" spans="1:5" ht="14.25">
      <c r="A302" s="134">
        <v>36300</v>
      </c>
      <c r="B302" s="111">
        <v>19.9732</v>
      </c>
      <c r="C302" s="111">
        <f t="shared" si="5"/>
        <v>0.0199732</v>
      </c>
      <c r="D302" s="111"/>
      <c r="E302" s="111"/>
    </row>
    <row r="303" spans="1:5" ht="14.25">
      <c r="A303" s="134">
        <v>36301</v>
      </c>
      <c r="B303" s="111">
        <v>19.6088</v>
      </c>
      <c r="C303" s="111">
        <f t="shared" si="5"/>
        <v>0.0196088</v>
      </c>
      <c r="D303" s="111"/>
      <c r="E303" s="111"/>
    </row>
    <row r="304" spans="1:5" ht="14.25">
      <c r="A304" s="134">
        <v>36305</v>
      </c>
      <c r="B304" s="111">
        <v>19.1327</v>
      </c>
      <c r="C304" s="111">
        <f t="shared" si="5"/>
        <v>0.0191327</v>
      </c>
      <c r="D304" s="111"/>
      <c r="E304" s="111"/>
    </row>
    <row r="305" spans="1:5" ht="14.25">
      <c r="A305" s="134">
        <v>36306</v>
      </c>
      <c r="B305" s="111">
        <v>20.0401</v>
      </c>
      <c r="C305" s="111">
        <f t="shared" si="5"/>
        <v>0.020040099999999998</v>
      </c>
      <c r="D305" s="111"/>
      <c r="E305" s="111">
        <v>13.3404</v>
      </c>
    </row>
    <row r="306" spans="1:5" ht="14.25">
      <c r="A306" s="134">
        <v>36307</v>
      </c>
      <c r="B306" s="111">
        <v>20.2664</v>
      </c>
      <c r="C306" s="111">
        <f t="shared" si="5"/>
        <v>0.0202664</v>
      </c>
      <c r="D306" s="111"/>
      <c r="E306" s="111">
        <v>12.707</v>
      </c>
    </row>
    <row r="307" spans="1:5" ht="14.25">
      <c r="A307" s="134">
        <v>36308</v>
      </c>
      <c r="B307" s="111">
        <v>19.7632</v>
      </c>
      <c r="C307" s="111">
        <f t="shared" si="5"/>
        <v>0.0197632</v>
      </c>
      <c r="D307" s="111"/>
      <c r="E307" s="111">
        <v>12.3993</v>
      </c>
    </row>
    <row r="308" spans="1:5" ht="14.25">
      <c r="A308" s="134">
        <v>36311</v>
      </c>
      <c r="B308" s="111">
        <v>19.9132</v>
      </c>
      <c r="C308" s="111">
        <f t="shared" si="5"/>
        <v>0.0199132</v>
      </c>
      <c r="D308" s="111"/>
      <c r="E308" s="111">
        <v>12.4918</v>
      </c>
    </row>
    <row r="309" spans="1:5" ht="14.25">
      <c r="A309" s="134">
        <v>36312</v>
      </c>
      <c r="B309" s="111">
        <v>20.0743</v>
      </c>
      <c r="C309" s="111">
        <f t="shared" si="5"/>
        <v>0.0200743</v>
      </c>
      <c r="D309" s="111"/>
      <c r="E309" s="111">
        <v>12.5913</v>
      </c>
    </row>
    <row r="310" spans="1:5" ht="14.25">
      <c r="A310" s="134">
        <v>36313</v>
      </c>
      <c r="B310" s="111">
        <v>19.633</v>
      </c>
      <c r="C310" s="111">
        <f t="shared" si="5"/>
        <v>0.019633</v>
      </c>
      <c r="D310" s="111"/>
      <c r="E310" s="111">
        <v>12.3261</v>
      </c>
    </row>
    <row r="311" spans="1:5" ht="14.25">
      <c r="A311" s="134">
        <v>36314</v>
      </c>
      <c r="B311" s="111">
        <v>18.0188</v>
      </c>
      <c r="C311" s="111">
        <f t="shared" si="5"/>
        <v>0.018018799999999998</v>
      </c>
      <c r="D311" s="111"/>
      <c r="E311" s="111">
        <v>11.3241</v>
      </c>
    </row>
    <row r="312" spans="1:5" ht="14.25">
      <c r="A312" s="134">
        <v>36315</v>
      </c>
      <c r="B312" s="111">
        <v>19.2087</v>
      </c>
      <c r="C312" s="111">
        <f t="shared" si="5"/>
        <v>0.019208700000000002</v>
      </c>
      <c r="D312" s="111"/>
      <c r="E312" s="111">
        <v>12.3385</v>
      </c>
    </row>
    <row r="313" spans="1:5" ht="14.25">
      <c r="A313" s="134">
        <v>36318</v>
      </c>
      <c r="B313" s="111">
        <v>19.5485</v>
      </c>
      <c r="C313" s="111">
        <f t="shared" si="5"/>
        <v>0.0195485</v>
      </c>
      <c r="D313" s="111"/>
      <c r="E313" s="111">
        <v>12.3125</v>
      </c>
    </row>
    <row r="314" spans="1:5" ht="14.25">
      <c r="A314" s="134">
        <v>36319</v>
      </c>
      <c r="B314" s="111">
        <v>19.9022</v>
      </c>
      <c r="C314" s="111">
        <f t="shared" si="5"/>
        <v>0.019902200000000002</v>
      </c>
      <c r="D314" s="111"/>
      <c r="E314" s="111">
        <v>12.5503</v>
      </c>
    </row>
    <row r="315" spans="1:5" ht="14.25">
      <c r="A315" s="134">
        <v>36320</v>
      </c>
      <c r="B315" s="111">
        <v>20.7147</v>
      </c>
      <c r="C315" s="111">
        <f t="shared" si="5"/>
        <v>0.020714700000000003</v>
      </c>
      <c r="D315" s="111"/>
      <c r="E315" s="111">
        <v>13.0208</v>
      </c>
    </row>
    <row r="316" spans="1:5" ht="14.25">
      <c r="A316" s="134">
        <v>36321</v>
      </c>
      <c r="B316" s="111">
        <v>20.586</v>
      </c>
      <c r="C316" s="111">
        <f t="shared" si="5"/>
        <v>0.020586</v>
      </c>
      <c r="D316" s="111"/>
      <c r="E316" s="111">
        <v>12.9358</v>
      </c>
    </row>
    <row r="317" spans="1:5" ht="14.25">
      <c r="A317" s="134">
        <v>36322</v>
      </c>
      <c r="B317" s="111">
        <v>21.3896</v>
      </c>
      <c r="C317" s="111">
        <f t="shared" si="5"/>
        <v>0.0213896</v>
      </c>
      <c r="D317" s="111"/>
      <c r="E317" s="111">
        <v>13.4129</v>
      </c>
    </row>
    <row r="318" spans="1:5" ht="14.25">
      <c r="A318" s="134">
        <v>36325</v>
      </c>
      <c r="B318" s="111">
        <v>21.113</v>
      </c>
      <c r="C318" s="111">
        <f t="shared" si="5"/>
        <v>0.021113</v>
      </c>
      <c r="D318" s="111"/>
      <c r="E318" s="111">
        <v>13.2204</v>
      </c>
    </row>
    <row r="319" spans="1:5" ht="14.25">
      <c r="A319" s="134">
        <v>36326</v>
      </c>
      <c r="B319" s="111">
        <v>21.4676</v>
      </c>
      <c r="C319" s="111">
        <f t="shared" si="5"/>
        <v>0.0214676</v>
      </c>
      <c r="D319" s="111"/>
      <c r="E319" s="111">
        <v>13.4576</v>
      </c>
    </row>
    <row r="320" spans="1:5" ht="14.25">
      <c r="A320" s="134">
        <v>36327</v>
      </c>
      <c r="B320" s="111">
        <v>21.1868</v>
      </c>
      <c r="C320" s="111">
        <f t="shared" si="5"/>
        <v>0.021186800000000002</v>
      </c>
      <c r="D320" s="111"/>
      <c r="E320" s="111">
        <v>13.2907</v>
      </c>
    </row>
    <row r="321" spans="1:5" ht="14.25">
      <c r="A321" s="134">
        <v>36328</v>
      </c>
      <c r="B321" s="111">
        <v>21.2664</v>
      </c>
      <c r="C321" s="111">
        <f t="shared" si="5"/>
        <v>0.0212664</v>
      </c>
      <c r="D321" s="111"/>
      <c r="E321" s="111">
        <v>13.3382</v>
      </c>
    </row>
    <row r="322" spans="1:5" ht="14.25">
      <c r="A322" s="134">
        <v>36329</v>
      </c>
      <c r="B322" s="111">
        <v>21.302</v>
      </c>
      <c r="C322" s="111">
        <f t="shared" si="5"/>
        <v>0.021302</v>
      </c>
      <c r="D322" s="111"/>
      <c r="E322" s="111">
        <v>13.3338</v>
      </c>
    </row>
    <row r="323" spans="1:5" ht="14.25">
      <c r="A323" s="134">
        <v>36332</v>
      </c>
      <c r="B323" s="111">
        <v>21.5547</v>
      </c>
      <c r="C323" s="111">
        <f aca="true" t="shared" si="6" ref="C323:C386">B323*10^-3</f>
        <v>0.0215547</v>
      </c>
      <c r="D323" s="111"/>
      <c r="E323" s="111">
        <v>13.4978</v>
      </c>
    </row>
    <row r="324" spans="1:5" ht="14.25">
      <c r="A324" s="134">
        <v>36333</v>
      </c>
      <c r="B324" s="111">
        <v>21.1969</v>
      </c>
      <c r="C324" s="111">
        <f t="shared" si="6"/>
        <v>0.0211969</v>
      </c>
      <c r="D324" s="111"/>
      <c r="E324" s="111">
        <v>13.2754</v>
      </c>
    </row>
    <row r="325" spans="1:5" ht="14.25">
      <c r="A325" s="134">
        <v>36334</v>
      </c>
      <c r="B325" s="111">
        <v>21.4518</v>
      </c>
      <c r="C325" s="111">
        <f t="shared" si="6"/>
        <v>0.0214518</v>
      </c>
      <c r="D325" s="111"/>
      <c r="E325" s="111">
        <v>13.4477</v>
      </c>
    </row>
    <row r="326" spans="1:5" ht="14.25">
      <c r="A326" s="134">
        <v>36335</v>
      </c>
      <c r="B326" s="111">
        <v>21.5377</v>
      </c>
      <c r="C326" s="111">
        <f t="shared" si="6"/>
        <v>0.0215377</v>
      </c>
      <c r="D326" s="111"/>
      <c r="E326" s="111">
        <v>13.4864</v>
      </c>
    </row>
    <row r="327" spans="1:5" ht="14.25">
      <c r="A327" s="134">
        <v>36336</v>
      </c>
      <c r="B327" s="111">
        <v>21.9779</v>
      </c>
      <c r="C327" s="111">
        <f t="shared" si="6"/>
        <v>0.0219779</v>
      </c>
      <c r="D327" s="111"/>
      <c r="E327" s="111">
        <v>13.762</v>
      </c>
    </row>
    <row r="328" spans="1:5" ht="14.25">
      <c r="A328" s="134">
        <v>36339</v>
      </c>
      <c r="B328" s="111">
        <v>21.8398</v>
      </c>
      <c r="C328" s="111">
        <f t="shared" si="6"/>
        <v>0.0218398</v>
      </c>
      <c r="D328" s="111"/>
      <c r="E328" s="111">
        <v>13.6541</v>
      </c>
    </row>
    <row r="329" spans="1:5" ht="14.25">
      <c r="A329" s="134">
        <v>36340</v>
      </c>
      <c r="B329" s="111">
        <v>22.8019</v>
      </c>
      <c r="C329" s="111">
        <f t="shared" si="6"/>
        <v>0.0228019</v>
      </c>
      <c r="D329" s="111"/>
      <c r="E329" s="111">
        <v>14.2557</v>
      </c>
    </row>
    <row r="330" spans="1:5" ht="14.25">
      <c r="A330" s="134">
        <v>36341</v>
      </c>
      <c r="B330" s="111">
        <v>23.0503</v>
      </c>
      <c r="C330" s="111">
        <f t="shared" si="6"/>
        <v>0.0230503</v>
      </c>
      <c r="D330" s="111"/>
      <c r="E330" s="111">
        <v>14.3956</v>
      </c>
    </row>
    <row r="331" spans="1:5" ht="14.25">
      <c r="A331" s="134">
        <v>36342</v>
      </c>
      <c r="B331" s="111">
        <v>23.6712</v>
      </c>
      <c r="C331" s="111">
        <f t="shared" si="6"/>
        <v>0.0236712</v>
      </c>
      <c r="D331" s="111"/>
      <c r="E331" s="111">
        <v>14.7632</v>
      </c>
    </row>
    <row r="332" spans="1:5" ht="14.25">
      <c r="A332" s="134">
        <v>36343</v>
      </c>
      <c r="B332" s="111">
        <v>24.1006</v>
      </c>
      <c r="C332" s="111">
        <f t="shared" si="6"/>
        <v>0.0241006</v>
      </c>
      <c r="D332" s="111"/>
      <c r="E332" s="111">
        <v>15.0225</v>
      </c>
    </row>
    <row r="333" spans="1:5" ht="14.25">
      <c r="A333" s="134">
        <v>36346</v>
      </c>
      <c r="B333" s="111">
        <v>23.0718</v>
      </c>
      <c r="C333" s="111">
        <f t="shared" si="6"/>
        <v>0.0230718</v>
      </c>
      <c r="D333" s="111"/>
      <c r="E333" s="111">
        <v>14.366</v>
      </c>
    </row>
    <row r="334" spans="1:5" ht="14.25">
      <c r="A334" s="134">
        <v>36347</v>
      </c>
      <c r="B334" s="111">
        <v>25.251</v>
      </c>
      <c r="C334" s="111">
        <f t="shared" si="6"/>
        <v>0.025251000000000003</v>
      </c>
      <c r="D334" s="111"/>
      <c r="E334" s="111">
        <v>15.7278</v>
      </c>
    </row>
    <row r="335" spans="1:5" ht="14.25">
      <c r="A335" s="134">
        <v>36348</v>
      </c>
      <c r="B335" s="111">
        <v>26.9858</v>
      </c>
      <c r="C335" s="111">
        <f t="shared" si="6"/>
        <v>0.0269858</v>
      </c>
      <c r="D335" s="111"/>
      <c r="E335" s="111">
        <v>16.824</v>
      </c>
    </row>
    <row r="336" spans="1:5" ht="14.25">
      <c r="A336" s="134">
        <v>36349</v>
      </c>
      <c r="B336" s="111">
        <v>26.0911</v>
      </c>
      <c r="C336" s="111">
        <f t="shared" si="6"/>
        <v>0.026091100000000002</v>
      </c>
      <c r="D336" s="111"/>
      <c r="E336" s="111">
        <v>16.2723</v>
      </c>
    </row>
    <row r="337" spans="1:5" ht="14.25">
      <c r="A337" s="134">
        <v>36350</v>
      </c>
      <c r="B337" s="111">
        <v>25.4641</v>
      </c>
      <c r="C337" s="111">
        <f t="shared" si="6"/>
        <v>0.0254641</v>
      </c>
      <c r="D337" s="111"/>
      <c r="E337" s="111">
        <v>15.8863</v>
      </c>
    </row>
    <row r="338" spans="1:5" ht="14.25">
      <c r="A338" s="134">
        <v>36353</v>
      </c>
      <c r="B338" s="111">
        <v>26.1268</v>
      </c>
      <c r="C338" s="111">
        <f t="shared" si="6"/>
        <v>0.0261268</v>
      </c>
      <c r="D338" s="111"/>
      <c r="E338" s="111">
        <v>16.2632</v>
      </c>
    </row>
    <row r="339" spans="1:5" ht="14.25">
      <c r="A339" s="134">
        <v>36354</v>
      </c>
      <c r="B339" s="111">
        <v>26.0909</v>
      </c>
      <c r="C339" s="111">
        <f t="shared" si="6"/>
        <v>0.0260909</v>
      </c>
      <c r="D339" s="111"/>
      <c r="E339" s="111">
        <v>16.2337</v>
      </c>
    </row>
    <row r="340" spans="1:5" ht="14.25">
      <c r="A340" s="134">
        <v>36355</v>
      </c>
      <c r="B340" s="111">
        <v>24.5284</v>
      </c>
      <c r="C340" s="111">
        <f t="shared" si="6"/>
        <v>0.024528400000000002</v>
      </c>
      <c r="D340" s="111"/>
      <c r="E340" s="111">
        <v>15.3006</v>
      </c>
    </row>
    <row r="341" spans="1:5" ht="14.25">
      <c r="A341" s="134">
        <v>36356</v>
      </c>
      <c r="B341" s="111">
        <v>25.9334</v>
      </c>
      <c r="C341" s="111">
        <f t="shared" si="6"/>
        <v>0.0259334</v>
      </c>
      <c r="D341" s="111"/>
      <c r="E341" s="111">
        <v>16.165</v>
      </c>
    </row>
    <row r="342" spans="1:5" ht="14.25">
      <c r="A342" s="134">
        <v>36357</v>
      </c>
      <c r="B342" s="111">
        <v>25.9685</v>
      </c>
      <c r="C342" s="111">
        <f t="shared" si="6"/>
        <v>0.0259685</v>
      </c>
      <c r="D342" s="111"/>
      <c r="E342" s="111">
        <v>16.1747</v>
      </c>
    </row>
    <row r="343" spans="1:5" ht="14.25">
      <c r="A343" s="134">
        <v>36360</v>
      </c>
      <c r="B343" s="111">
        <v>25.0492</v>
      </c>
      <c r="C343" s="111">
        <f t="shared" si="6"/>
        <v>0.0250492</v>
      </c>
      <c r="D343" s="111"/>
      <c r="E343" s="111">
        <v>15.5982</v>
      </c>
    </row>
    <row r="344" spans="1:5" ht="14.25">
      <c r="A344" s="134">
        <v>36361</v>
      </c>
      <c r="B344" s="111">
        <v>25.3513</v>
      </c>
      <c r="C344" s="111">
        <f t="shared" si="6"/>
        <v>0.0253513</v>
      </c>
      <c r="D344" s="111"/>
      <c r="E344" s="111">
        <v>15.7785</v>
      </c>
    </row>
    <row r="345" spans="1:5" ht="14.25">
      <c r="A345" s="134">
        <v>36362</v>
      </c>
      <c r="B345" s="111">
        <v>24.8051</v>
      </c>
      <c r="C345" s="111">
        <f t="shared" si="6"/>
        <v>0.0248051</v>
      </c>
      <c r="D345" s="111"/>
      <c r="E345" s="111">
        <v>15.4664</v>
      </c>
    </row>
    <row r="346" spans="1:5" ht="14.25">
      <c r="A346" s="134">
        <v>36363</v>
      </c>
      <c r="B346" s="111">
        <v>25.175</v>
      </c>
      <c r="C346" s="111">
        <f t="shared" si="6"/>
        <v>0.025175000000000003</v>
      </c>
      <c r="D346" s="111"/>
      <c r="E346" s="111">
        <v>15.6766</v>
      </c>
    </row>
    <row r="347" spans="1:5" ht="14.25">
      <c r="A347" s="134">
        <v>36364</v>
      </c>
      <c r="B347" s="111">
        <v>25.2015</v>
      </c>
      <c r="C347" s="111">
        <f t="shared" si="6"/>
        <v>0.025201499999999998</v>
      </c>
      <c r="D347" s="111"/>
      <c r="E347" s="111">
        <v>15.6843</v>
      </c>
    </row>
    <row r="348" spans="1:5" ht="14.25">
      <c r="A348" s="134">
        <v>36367</v>
      </c>
      <c r="B348" s="111">
        <v>25.0535</v>
      </c>
      <c r="C348" s="111">
        <f t="shared" si="6"/>
        <v>0.0250535</v>
      </c>
      <c r="D348" s="111"/>
      <c r="E348" s="111">
        <v>15.6067</v>
      </c>
    </row>
    <row r="349" spans="1:5" ht="14.25">
      <c r="A349" s="134">
        <v>36368</v>
      </c>
      <c r="B349" s="111">
        <v>24.9572</v>
      </c>
      <c r="C349" s="111">
        <f t="shared" si="6"/>
        <v>0.024957200000000002</v>
      </c>
      <c r="D349" s="111"/>
      <c r="E349" s="111">
        <v>15.5342</v>
      </c>
    </row>
    <row r="350" spans="1:5" ht="14.25">
      <c r="A350" s="134">
        <v>36369</v>
      </c>
      <c r="B350" s="111">
        <v>24.8618</v>
      </c>
      <c r="C350" s="111">
        <f t="shared" si="6"/>
        <v>0.0248618</v>
      </c>
      <c r="D350" s="111"/>
      <c r="E350" s="111">
        <v>15.5386</v>
      </c>
    </row>
    <row r="351" spans="1:5" ht="14.25">
      <c r="A351" s="134">
        <v>36370</v>
      </c>
      <c r="B351" s="111">
        <v>24.6885</v>
      </c>
      <c r="C351" s="111">
        <f t="shared" si="6"/>
        <v>0.024688500000000002</v>
      </c>
      <c r="D351" s="111"/>
      <c r="E351" s="111">
        <v>15.4438</v>
      </c>
    </row>
    <row r="352" spans="1:5" ht="14.25">
      <c r="A352" s="134">
        <v>36371</v>
      </c>
      <c r="B352" s="111">
        <v>24.4012</v>
      </c>
      <c r="C352" s="111">
        <f t="shared" si="6"/>
        <v>0.0244012</v>
      </c>
      <c r="D352" s="111"/>
      <c r="E352" s="111">
        <v>15.2708</v>
      </c>
    </row>
    <row r="353" spans="1:5" ht="14.25">
      <c r="A353" s="134">
        <v>36374</v>
      </c>
      <c r="B353" s="111">
        <v>22.5389</v>
      </c>
      <c r="C353" s="111">
        <f t="shared" si="6"/>
        <v>0.0225389</v>
      </c>
      <c r="D353" s="111"/>
      <c r="E353" s="111">
        <v>14.108</v>
      </c>
    </row>
    <row r="354" spans="1:5" ht="14.25">
      <c r="A354" s="134">
        <v>36375</v>
      </c>
      <c r="B354" s="111">
        <v>21.6581</v>
      </c>
      <c r="C354" s="111">
        <f t="shared" si="6"/>
        <v>0.021658100000000003</v>
      </c>
      <c r="D354" s="111"/>
      <c r="E354" s="111">
        <v>13.5677</v>
      </c>
    </row>
    <row r="355" spans="1:5" ht="14.25">
      <c r="A355" s="134">
        <v>36376</v>
      </c>
      <c r="B355" s="111">
        <v>22.5278</v>
      </c>
      <c r="C355" s="111">
        <f t="shared" si="6"/>
        <v>0.0225278</v>
      </c>
      <c r="D355" s="111"/>
      <c r="E355" s="111">
        <v>14.0851</v>
      </c>
    </row>
    <row r="356" spans="1:5" ht="14.25">
      <c r="A356" s="134">
        <v>36377</v>
      </c>
      <c r="B356" s="111">
        <v>22.9959</v>
      </c>
      <c r="C356" s="111">
        <f t="shared" si="6"/>
        <v>0.0229959</v>
      </c>
      <c r="D356" s="111"/>
      <c r="E356" s="111">
        <v>14.3706</v>
      </c>
    </row>
    <row r="357" spans="1:5" ht="14.25">
      <c r="A357" s="134">
        <v>36378</v>
      </c>
      <c r="B357" s="111">
        <v>22.8139</v>
      </c>
      <c r="C357" s="111">
        <f t="shared" si="6"/>
        <v>0.0228139</v>
      </c>
      <c r="D357" s="111"/>
      <c r="E357" s="111">
        <v>14.2712</v>
      </c>
    </row>
    <row r="358" spans="1:5" ht="14.25">
      <c r="A358" s="134">
        <v>36381</v>
      </c>
      <c r="B358" s="111">
        <v>22.8343</v>
      </c>
      <c r="C358" s="111">
        <f t="shared" si="6"/>
        <v>0.0228343</v>
      </c>
      <c r="D358" s="111"/>
      <c r="E358" s="111">
        <v>14.2545</v>
      </c>
    </row>
    <row r="359" spans="1:5" ht="14.25">
      <c r="A359" s="134">
        <v>36382</v>
      </c>
      <c r="B359" s="111">
        <v>22.0231</v>
      </c>
      <c r="C359" s="111">
        <f t="shared" si="6"/>
        <v>0.0220231</v>
      </c>
      <c r="D359" s="111"/>
      <c r="E359" s="111">
        <v>13.7705</v>
      </c>
    </row>
    <row r="360" spans="1:5" ht="14.25">
      <c r="A360" s="134">
        <v>36383</v>
      </c>
      <c r="B360" s="111">
        <v>20.8761</v>
      </c>
      <c r="C360" s="111">
        <f t="shared" si="6"/>
        <v>0.0208761</v>
      </c>
      <c r="D360" s="111"/>
      <c r="E360" s="111">
        <v>13.0451</v>
      </c>
    </row>
    <row r="361" spans="1:5" ht="14.25">
      <c r="A361" s="134">
        <v>36384</v>
      </c>
      <c r="B361" s="111">
        <v>20.7248</v>
      </c>
      <c r="C361" s="111">
        <f t="shared" si="6"/>
        <v>0.020724799999999998</v>
      </c>
      <c r="D361" s="111"/>
      <c r="E361" s="111">
        <v>12.9344</v>
      </c>
    </row>
    <row r="362" spans="1:5" ht="14.25">
      <c r="A362" s="134">
        <v>36385</v>
      </c>
      <c r="B362" s="111">
        <v>20.6498</v>
      </c>
      <c r="C362" s="111">
        <f t="shared" si="6"/>
        <v>0.0206498</v>
      </c>
      <c r="D362" s="111"/>
      <c r="E362" s="111">
        <v>12.8876</v>
      </c>
    </row>
    <row r="363" spans="1:5" ht="14.25">
      <c r="A363" s="134">
        <v>36388</v>
      </c>
      <c r="B363" s="111">
        <v>20.4765</v>
      </c>
      <c r="C363" s="111">
        <f t="shared" si="6"/>
        <v>0.0204765</v>
      </c>
      <c r="D363" s="111"/>
      <c r="E363" s="111">
        <v>12.7858</v>
      </c>
    </row>
    <row r="364" spans="1:5" ht="14.25">
      <c r="A364" s="134">
        <v>36389</v>
      </c>
      <c r="B364" s="111">
        <v>20.5919</v>
      </c>
      <c r="C364" s="111">
        <f t="shared" si="6"/>
        <v>0.0205919</v>
      </c>
      <c r="D364" s="111"/>
      <c r="E364" s="111">
        <v>13.5647</v>
      </c>
    </row>
    <row r="365" spans="1:5" ht="14.25">
      <c r="A365" s="134">
        <v>36390</v>
      </c>
      <c r="B365" s="111">
        <v>20.2007</v>
      </c>
      <c r="C365" s="111">
        <f t="shared" si="6"/>
        <v>0.020200700000000002</v>
      </c>
      <c r="D365" s="111"/>
      <c r="E365" s="111">
        <v>12.616</v>
      </c>
    </row>
    <row r="366" spans="1:5" ht="14.25">
      <c r="A366" s="134">
        <v>36391</v>
      </c>
      <c r="B366" s="111">
        <v>20.8276</v>
      </c>
      <c r="C366" s="111">
        <f t="shared" si="6"/>
        <v>0.0208276</v>
      </c>
      <c r="D366" s="111"/>
      <c r="E366" s="111">
        <v>13.4445</v>
      </c>
    </row>
    <row r="367" spans="1:5" ht="14.25">
      <c r="A367" s="134">
        <v>36392</v>
      </c>
      <c r="B367" s="111">
        <v>19.6041</v>
      </c>
      <c r="C367" s="111">
        <f t="shared" si="6"/>
        <v>0.0196041</v>
      </c>
      <c r="D367" s="111">
        <v>12.8885</v>
      </c>
      <c r="E367" s="111">
        <v>12.2549</v>
      </c>
    </row>
    <row r="368" spans="1:5" ht="14.25">
      <c r="A368" s="134">
        <v>36395</v>
      </c>
      <c r="B368" s="111">
        <v>20.3556</v>
      </c>
      <c r="C368" s="111">
        <f t="shared" si="6"/>
        <v>0.020355599999999998</v>
      </c>
      <c r="D368" s="111">
        <v>13.5921</v>
      </c>
      <c r="E368" s="111">
        <v>12.7422</v>
      </c>
    </row>
    <row r="369" spans="1:5" ht="14.25">
      <c r="A369" s="134">
        <v>36396</v>
      </c>
      <c r="B369" s="111">
        <v>20.663</v>
      </c>
      <c r="C369" s="111">
        <f t="shared" si="6"/>
        <v>0.020663</v>
      </c>
      <c r="D369" s="111">
        <v>13.7202</v>
      </c>
      <c r="E369" s="111">
        <v>12.9362</v>
      </c>
    </row>
    <row r="370" spans="1:5" ht="14.25">
      <c r="A370" s="134">
        <v>36397</v>
      </c>
      <c r="B370" s="111">
        <v>21.8793</v>
      </c>
      <c r="C370" s="111">
        <f t="shared" si="6"/>
        <v>0.0218793</v>
      </c>
      <c r="D370" s="111">
        <v>14.3666</v>
      </c>
      <c r="E370" s="111">
        <v>13.6669</v>
      </c>
    </row>
    <row r="371" spans="1:5" ht="14.25">
      <c r="A371" s="134">
        <v>36398</v>
      </c>
      <c r="B371" s="111">
        <v>22.0195</v>
      </c>
      <c r="C371" s="111">
        <f t="shared" si="6"/>
        <v>0.0220195</v>
      </c>
      <c r="D371" s="111">
        <v>14.3491</v>
      </c>
      <c r="E371" s="111">
        <v>13.7536</v>
      </c>
    </row>
    <row r="372" spans="1:5" ht="14.25">
      <c r="A372" s="134">
        <v>36399</v>
      </c>
      <c r="B372" s="111">
        <v>21.131</v>
      </c>
      <c r="C372" s="111">
        <f t="shared" si="6"/>
        <v>0.021131</v>
      </c>
      <c r="D372" s="111">
        <v>13.7866</v>
      </c>
      <c r="E372" s="111">
        <v>13.1904</v>
      </c>
    </row>
    <row r="373" spans="1:5" ht="14.25">
      <c r="A373" s="134">
        <v>36402</v>
      </c>
      <c r="B373" s="111">
        <v>23.368</v>
      </c>
      <c r="C373" s="111">
        <f t="shared" si="6"/>
        <v>0.023368</v>
      </c>
      <c r="D373" s="111">
        <v>15.2489</v>
      </c>
      <c r="E373" s="111">
        <v>14.5922</v>
      </c>
    </row>
    <row r="374" spans="1:5" ht="14.25">
      <c r="A374" s="134">
        <v>36403</v>
      </c>
      <c r="B374" s="111">
        <v>24.8716</v>
      </c>
      <c r="C374" s="111">
        <f t="shared" si="6"/>
        <v>0.0248716</v>
      </c>
      <c r="D374" s="111">
        <v>16.2312</v>
      </c>
      <c r="E374" s="111">
        <v>15.5263</v>
      </c>
    </row>
    <row r="375" spans="1:5" ht="14.25">
      <c r="A375" s="134">
        <v>36404</v>
      </c>
      <c r="B375" s="111">
        <v>25.277</v>
      </c>
      <c r="C375" s="111">
        <f t="shared" si="6"/>
        <v>0.025277</v>
      </c>
      <c r="D375" s="111">
        <v>16.7065</v>
      </c>
      <c r="E375" s="111">
        <v>15.8011</v>
      </c>
    </row>
    <row r="376" spans="1:5" ht="14.25">
      <c r="A376" s="134">
        <v>36405</v>
      </c>
      <c r="B376" s="111">
        <v>24.9261</v>
      </c>
      <c r="C376" s="111">
        <f t="shared" si="6"/>
        <v>0.024926100000000003</v>
      </c>
      <c r="D376" s="111">
        <v>16.5297</v>
      </c>
      <c r="E376" s="111">
        <v>15.5749</v>
      </c>
    </row>
    <row r="377" spans="1:5" ht="14.25">
      <c r="A377" s="134">
        <v>36406</v>
      </c>
      <c r="B377" s="111">
        <v>25.3196</v>
      </c>
      <c r="C377" s="111">
        <f t="shared" si="6"/>
        <v>0.0253196</v>
      </c>
      <c r="D377" s="111">
        <v>16.8818</v>
      </c>
      <c r="E377" s="111">
        <v>15.8336</v>
      </c>
    </row>
    <row r="378" spans="1:5" ht="14.25">
      <c r="A378" s="134">
        <v>36409</v>
      </c>
      <c r="B378" s="111">
        <v>24.5892</v>
      </c>
      <c r="C378" s="111">
        <f t="shared" si="6"/>
        <v>0.024589200000000002</v>
      </c>
      <c r="D378" s="111">
        <v>16.4482</v>
      </c>
      <c r="E378" s="111">
        <v>15.3981</v>
      </c>
    </row>
    <row r="379" spans="1:5" ht="14.25">
      <c r="A379" s="134">
        <v>36410</v>
      </c>
      <c r="B379" s="111">
        <v>25.1603</v>
      </c>
      <c r="C379" s="111">
        <f t="shared" si="6"/>
        <v>0.0251603</v>
      </c>
      <c r="D379" s="111">
        <v>16.6822</v>
      </c>
      <c r="E379" s="111">
        <v>15.7468</v>
      </c>
    </row>
    <row r="380" spans="1:5" ht="14.25">
      <c r="A380" s="134">
        <v>36411</v>
      </c>
      <c r="B380" s="111">
        <v>26.3874</v>
      </c>
      <c r="C380" s="111">
        <f t="shared" si="6"/>
        <v>0.0263874</v>
      </c>
      <c r="D380" s="111">
        <v>17.4359</v>
      </c>
      <c r="E380" s="111">
        <v>16.5035</v>
      </c>
    </row>
    <row r="381" spans="1:5" ht="14.25">
      <c r="A381" s="134">
        <v>36412</v>
      </c>
      <c r="B381" s="111">
        <v>26.5495</v>
      </c>
      <c r="C381" s="111">
        <f t="shared" si="6"/>
        <v>0.0265495</v>
      </c>
      <c r="D381" s="111">
        <v>17.6138</v>
      </c>
      <c r="E381" s="111">
        <v>16.6007</v>
      </c>
    </row>
    <row r="382" spans="1:5" ht="14.25">
      <c r="A382" s="134">
        <v>36413</v>
      </c>
      <c r="B382" s="111">
        <v>26.659</v>
      </c>
      <c r="C382" s="111">
        <f t="shared" si="6"/>
        <v>0.026659</v>
      </c>
      <c r="D382" s="111"/>
      <c r="E382" s="111">
        <v>16.6598</v>
      </c>
    </row>
    <row r="383" spans="1:5" ht="14.25">
      <c r="A383" s="134">
        <v>36416</v>
      </c>
      <c r="B383" s="111">
        <v>27.031</v>
      </c>
      <c r="C383" s="111">
        <f t="shared" si="6"/>
        <v>0.027031</v>
      </c>
      <c r="D383" s="111"/>
      <c r="E383" s="111">
        <v>16.868</v>
      </c>
    </row>
    <row r="384" spans="1:5" ht="14.25">
      <c r="A384" s="134">
        <v>36417</v>
      </c>
      <c r="B384" s="111">
        <v>27.5208</v>
      </c>
      <c r="C384" s="111">
        <f t="shared" si="6"/>
        <v>0.0275208</v>
      </c>
      <c r="D384" s="111"/>
      <c r="E384" s="111">
        <v>17.1405</v>
      </c>
    </row>
    <row r="385" spans="1:5" ht="14.25">
      <c r="A385" s="134">
        <v>36418</v>
      </c>
      <c r="B385" s="111">
        <v>28.2032</v>
      </c>
      <c r="C385" s="111">
        <f t="shared" si="6"/>
        <v>0.0282032</v>
      </c>
      <c r="D385" s="111"/>
      <c r="E385" s="111">
        <v>17.5765</v>
      </c>
    </row>
    <row r="386" spans="1:5" ht="14.25">
      <c r="A386" s="134">
        <v>36419</v>
      </c>
      <c r="B386" s="111">
        <v>28.7483</v>
      </c>
      <c r="C386" s="111">
        <f t="shared" si="6"/>
        <v>0.0287483</v>
      </c>
      <c r="D386" s="111"/>
      <c r="E386" s="111">
        <v>17.9319</v>
      </c>
    </row>
    <row r="387" spans="1:5" ht="14.25">
      <c r="A387" s="134">
        <v>36420</v>
      </c>
      <c r="B387" s="111">
        <v>28.8976</v>
      </c>
      <c r="C387" s="111">
        <f aca="true" t="shared" si="7" ref="C387:C450">B387*10^-3</f>
        <v>0.028897600000000002</v>
      </c>
      <c r="D387" s="111"/>
      <c r="E387" s="111">
        <v>18.025</v>
      </c>
    </row>
    <row r="388" spans="1:5" ht="14.25">
      <c r="A388" s="134">
        <v>36423</v>
      </c>
      <c r="B388" s="111">
        <v>29.45</v>
      </c>
      <c r="C388" s="111">
        <f t="shared" si="7"/>
        <v>0.02945</v>
      </c>
      <c r="D388" s="111"/>
      <c r="E388" s="111">
        <v>18.3524</v>
      </c>
    </row>
    <row r="389" spans="1:5" ht="14.25">
      <c r="A389" s="134">
        <v>36424</v>
      </c>
      <c r="B389" s="111">
        <v>28.9688</v>
      </c>
      <c r="C389" s="111">
        <f t="shared" si="7"/>
        <v>0.028968800000000003</v>
      </c>
      <c r="D389" s="111"/>
      <c r="E389" s="111">
        <v>18.0502</v>
      </c>
    </row>
    <row r="390" spans="1:5" ht="14.25">
      <c r="A390" s="134">
        <v>36425</v>
      </c>
      <c r="B390" s="111">
        <v>28.0749</v>
      </c>
      <c r="C390" s="111">
        <f t="shared" si="7"/>
        <v>0.0280749</v>
      </c>
      <c r="D390" s="111">
        <v>18.1731</v>
      </c>
      <c r="E390" s="111">
        <v>17.4943</v>
      </c>
    </row>
    <row r="391" spans="1:5" ht="14.25">
      <c r="A391" s="134">
        <v>36426</v>
      </c>
      <c r="B391" s="111">
        <v>26.586</v>
      </c>
      <c r="C391" s="111">
        <f t="shared" si="7"/>
        <v>0.026586</v>
      </c>
      <c r="D391" s="111">
        <v>17.4358</v>
      </c>
      <c r="E391" s="111">
        <v>16.5913</v>
      </c>
    </row>
    <row r="392" spans="1:5" ht="14.25">
      <c r="A392" s="134">
        <v>36427</v>
      </c>
      <c r="B392" s="111">
        <v>27.6475</v>
      </c>
      <c r="C392" s="111">
        <f t="shared" si="7"/>
        <v>0.027647500000000002</v>
      </c>
      <c r="D392" s="111">
        <v>17.9789</v>
      </c>
      <c r="E392" s="111">
        <v>17.2377</v>
      </c>
    </row>
    <row r="393" spans="1:5" ht="14.25">
      <c r="A393" s="134">
        <v>36430</v>
      </c>
      <c r="B393" s="111">
        <v>26.357</v>
      </c>
      <c r="C393" s="111">
        <f t="shared" si="7"/>
        <v>0.026357</v>
      </c>
      <c r="D393" s="111"/>
      <c r="E393" s="111">
        <v>16.4711</v>
      </c>
    </row>
    <row r="394" spans="1:5" ht="14.25">
      <c r="A394" s="134">
        <v>36431</v>
      </c>
      <c r="B394" s="111">
        <v>25.774</v>
      </c>
      <c r="C394" s="111">
        <f t="shared" si="7"/>
        <v>0.025774000000000002</v>
      </c>
      <c r="D394" s="111"/>
      <c r="E394" s="111">
        <v>16.0896</v>
      </c>
    </row>
    <row r="395" spans="1:5" ht="14.25">
      <c r="A395" s="134">
        <v>36432</v>
      </c>
      <c r="B395" s="111">
        <v>24.3698</v>
      </c>
      <c r="C395" s="111">
        <f t="shared" si="7"/>
        <v>0.0243698</v>
      </c>
      <c r="D395" s="111">
        <v>15.9439</v>
      </c>
      <c r="E395" s="111">
        <v>15.2093</v>
      </c>
    </row>
    <row r="396" spans="1:5" ht="14.25">
      <c r="A396" s="134">
        <v>36433</v>
      </c>
      <c r="B396" s="111">
        <v>24.3134</v>
      </c>
      <c r="C396" s="111">
        <f t="shared" si="7"/>
        <v>0.024313400000000002</v>
      </c>
      <c r="D396" s="111">
        <v>16.0484</v>
      </c>
      <c r="E396" s="111">
        <v>15.193</v>
      </c>
    </row>
    <row r="397" spans="1:5" ht="14.25">
      <c r="A397" s="134">
        <v>36434</v>
      </c>
      <c r="B397" s="111">
        <v>23.9076</v>
      </c>
      <c r="C397" s="111">
        <f t="shared" si="7"/>
        <v>0.023907599999999998</v>
      </c>
      <c r="D397" s="111">
        <v>15.9689</v>
      </c>
      <c r="E397" s="111">
        <v>14.9731</v>
      </c>
    </row>
    <row r="398" spans="1:5" ht="14.25">
      <c r="A398" s="134">
        <v>36437</v>
      </c>
      <c r="B398" s="111">
        <v>25.7478</v>
      </c>
      <c r="C398" s="111">
        <f t="shared" si="7"/>
        <v>0.0257478</v>
      </c>
      <c r="D398" s="111">
        <v>17.2801</v>
      </c>
      <c r="E398" s="111">
        <v>16.1075</v>
      </c>
    </row>
    <row r="399" spans="1:5" ht="14.25">
      <c r="A399" s="134">
        <v>36438</v>
      </c>
      <c r="B399" s="111">
        <v>27.3132</v>
      </c>
      <c r="C399" s="111">
        <f t="shared" si="7"/>
        <v>0.0273132</v>
      </c>
      <c r="D399" s="111"/>
      <c r="E399" s="111">
        <v>17.1619</v>
      </c>
    </row>
    <row r="400" spans="1:5" ht="14.25">
      <c r="A400" s="134">
        <v>36439</v>
      </c>
      <c r="B400" s="111">
        <v>26.9883</v>
      </c>
      <c r="C400" s="111">
        <f t="shared" si="7"/>
        <v>0.0269883</v>
      </c>
      <c r="D400" s="111">
        <v>18.1018</v>
      </c>
      <c r="E400" s="111">
        <v>16.9397</v>
      </c>
    </row>
    <row r="401" spans="1:5" ht="14.25">
      <c r="A401" s="134">
        <v>36440</v>
      </c>
      <c r="B401" s="111">
        <v>27.0893</v>
      </c>
      <c r="C401" s="111">
        <f t="shared" si="7"/>
        <v>0.027089300000000004</v>
      </c>
      <c r="D401" s="111">
        <v>18.2849</v>
      </c>
      <c r="E401" s="111">
        <v>17.0298</v>
      </c>
    </row>
    <row r="402" spans="1:5" ht="14.25">
      <c r="A402" s="134">
        <v>36441</v>
      </c>
      <c r="B402" s="111">
        <v>27.1151</v>
      </c>
      <c r="C402" s="111">
        <f t="shared" si="7"/>
        <v>0.027115100000000003</v>
      </c>
      <c r="D402" s="111">
        <v>18.2691</v>
      </c>
      <c r="E402" s="111">
        <v>17.0278</v>
      </c>
    </row>
    <row r="403" spans="1:5" ht="14.25">
      <c r="A403" s="134">
        <v>36444</v>
      </c>
      <c r="B403" s="111">
        <v>28.5924</v>
      </c>
      <c r="C403" s="111">
        <f t="shared" si="7"/>
        <v>0.0285924</v>
      </c>
      <c r="D403" s="111">
        <v>19.0968</v>
      </c>
      <c r="E403" s="111">
        <v>17.9195</v>
      </c>
    </row>
    <row r="404" spans="1:5" ht="14.25">
      <c r="A404" s="134">
        <v>36445</v>
      </c>
      <c r="B404" s="111">
        <v>28.9539</v>
      </c>
      <c r="C404" s="111">
        <f t="shared" si="7"/>
        <v>0.0289539</v>
      </c>
      <c r="D404" s="111">
        <v>19.2996</v>
      </c>
      <c r="E404" s="111">
        <v>18.1541</v>
      </c>
    </row>
    <row r="405" spans="1:5" ht="14.25">
      <c r="A405" s="134">
        <v>36446</v>
      </c>
      <c r="B405" s="111">
        <v>29.0808</v>
      </c>
      <c r="C405" s="111">
        <f t="shared" si="7"/>
        <v>0.0290808</v>
      </c>
      <c r="D405" s="111">
        <v>19.4565</v>
      </c>
      <c r="E405" s="111">
        <v>18.2382</v>
      </c>
    </row>
    <row r="406" spans="1:5" ht="14.25">
      <c r="A406" s="134">
        <v>36447</v>
      </c>
      <c r="B406" s="111">
        <v>29.9324</v>
      </c>
      <c r="C406" s="111">
        <f t="shared" si="7"/>
        <v>0.0299324</v>
      </c>
      <c r="D406" s="111">
        <v>20.2811</v>
      </c>
      <c r="E406" s="111">
        <v>18.8171</v>
      </c>
    </row>
    <row r="407" spans="1:5" ht="14.25">
      <c r="A407" s="134">
        <v>36448</v>
      </c>
      <c r="B407" s="111">
        <v>30.4478</v>
      </c>
      <c r="C407" s="111">
        <f t="shared" si="7"/>
        <v>0.0304478</v>
      </c>
      <c r="D407" s="111">
        <v>20.5907</v>
      </c>
      <c r="E407" s="111">
        <v>19.1399</v>
      </c>
    </row>
    <row r="408" spans="1:5" ht="14.25">
      <c r="A408" s="134">
        <v>36451</v>
      </c>
      <c r="B408" s="111">
        <v>30.9203</v>
      </c>
      <c r="C408" s="111">
        <f t="shared" si="7"/>
        <v>0.0309203</v>
      </c>
      <c r="D408" s="111">
        <v>21.1739</v>
      </c>
      <c r="E408" s="111">
        <v>19.481</v>
      </c>
    </row>
    <row r="409" spans="1:5" ht="14.25">
      <c r="A409" s="134">
        <v>36452</v>
      </c>
      <c r="B409" s="111">
        <v>31.8764</v>
      </c>
      <c r="C409" s="111">
        <f t="shared" si="7"/>
        <v>0.0318764</v>
      </c>
      <c r="D409" s="111">
        <v>21.8129</v>
      </c>
      <c r="E409" s="111">
        <v>20.0708</v>
      </c>
    </row>
    <row r="410" spans="1:5" ht="14.25">
      <c r="A410" s="134">
        <v>36453</v>
      </c>
      <c r="B410" s="111">
        <v>32.2502</v>
      </c>
      <c r="C410" s="111">
        <f t="shared" si="7"/>
        <v>0.0322502</v>
      </c>
      <c r="D410" s="111">
        <v>21.9547</v>
      </c>
      <c r="E410" s="111">
        <v>20.2946</v>
      </c>
    </row>
    <row r="411" spans="1:5" ht="14.25">
      <c r="A411" s="134">
        <v>36454</v>
      </c>
      <c r="B411" s="111">
        <v>33.0564</v>
      </c>
      <c r="C411" s="111">
        <f t="shared" si="7"/>
        <v>0.0330564</v>
      </c>
      <c r="D411" s="111">
        <v>22.3887</v>
      </c>
      <c r="E411" s="111">
        <v>20.7745</v>
      </c>
    </row>
    <row r="412" spans="1:5" ht="14.25">
      <c r="A412" s="134">
        <v>36455</v>
      </c>
      <c r="B412" s="111">
        <v>32.7084</v>
      </c>
      <c r="C412" s="111">
        <f t="shared" si="7"/>
        <v>0.0327084</v>
      </c>
      <c r="D412" s="111">
        <v>22.1802</v>
      </c>
      <c r="E412" s="111">
        <v>20.5429</v>
      </c>
    </row>
    <row r="413" spans="1:5" ht="14.25">
      <c r="A413" s="134">
        <v>36458</v>
      </c>
      <c r="B413" s="111">
        <v>31.4947</v>
      </c>
      <c r="C413" s="111">
        <f t="shared" si="7"/>
        <v>0.0314947</v>
      </c>
      <c r="D413" s="111">
        <v>21.2134</v>
      </c>
      <c r="E413" s="111">
        <v>19.7187</v>
      </c>
    </row>
    <row r="414" spans="1:5" ht="14.25">
      <c r="A414" s="134">
        <v>36459</v>
      </c>
      <c r="B414" s="111">
        <v>32.1224</v>
      </c>
      <c r="C414" s="111">
        <f t="shared" si="7"/>
        <v>0.0321224</v>
      </c>
      <c r="D414" s="111">
        <v>21.4745</v>
      </c>
      <c r="E414" s="111">
        <v>20.1016</v>
      </c>
    </row>
    <row r="415" spans="1:5" ht="14.25">
      <c r="A415" s="134">
        <v>36460</v>
      </c>
      <c r="B415" s="111">
        <v>32.61</v>
      </c>
      <c r="C415" s="111">
        <f t="shared" si="7"/>
        <v>0.03261</v>
      </c>
      <c r="D415" s="111">
        <v>21.6863</v>
      </c>
      <c r="E415" s="111">
        <v>20.3953</v>
      </c>
    </row>
    <row r="416" spans="1:5" ht="14.25">
      <c r="A416" s="134">
        <v>36461</v>
      </c>
      <c r="B416" s="111">
        <v>33.1858</v>
      </c>
      <c r="C416" s="111">
        <f t="shared" si="7"/>
        <v>0.0331858</v>
      </c>
      <c r="D416" s="111">
        <v>21.8929</v>
      </c>
      <c r="E416" s="111">
        <v>20.7476</v>
      </c>
    </row>
    <row r="417" spans="1:5" ht="14.25">
      <c r="A417" s="134">
        <v>36462</v>
      </c>
      <c r="B417" s="111">
        <v>33.4018</v>
      </c>
      <c r="C417" s="111">
        <f t="shared" si="7"/>
        <v>0.0334018</v>
      </c>
      <c r="D417" s="111">
        <v>21.9593</v>
      </c>
      <c r="E417" s="111">
        <v>20.8461</v>
      </c>
    </row>
    <row r="418" spans="1:5" ht="14.25">
      <c r="A418" s="134">
        <v>36466</v>
      </c>
      <c r="B418" s="111">
        <v>33.2774</v>
      </c>
      <c r="C418" s="111">
        <f t="shared" si="7"/>
        <v>0.0332774</v>
      </c>
      <c r="D418" s="111">
        <v>21.9305</v>
      </c>
      <c r="E418" s="111">
        <v>20.7439</v>
      </c>
    </row>
    <row r="419" spans="1:5" ht="14.25">
      <c r="A419" s="134">
        <v>36467</v>
      </c>
      <c r="B419" s="111">
        <v>33.2157</v>
      </c>
      <c r="C419" s="111">
        <f t="shared" si="7"/>
        <v>0.0332157</v>
      </c>
      <c r="D419" s="111">
        <v>21.743</v>
      </c>
      <c r="E419" s="111">
        <v>20.6938</v>
      </c>
    </row>
    <row r="420" spans="1:5" ht="14.25">
      <c r="A420" s="134">
        <v>36468</v>
      </c>
      <c r="B420" s="111">
        <v>33.0962</v>
      </c>
      <c r="C420" s="111">
        <f t="shared" si="7"/>
        <v>0.033096200000000006</v>
      </c>
      <c r="D420" s="111">
        <v>21.5968</v>
      </c>
      <c r="E420" s="111">
        <v>20.5861</v>
      </c>
    </row>
    <row r="421" spans="1:5" ht="14.25">
      <c r="A421" s="134">
        <v>36469</v>
      </c>
      <c r="B421" s="111">
        <v>33.2747</v>
      </c>
      <c r="C421" s="111">
        <f t="shared" si="7"/>
        <v>0.033274700000000004</v>
      </c>
      <c r="D421" s="111">
        <v>21.6889</v>
      </c>
      <c r="E421" s="111">
        <v>20.6483</v>
      </c>
    </row>
    <row r="422" spans="1:5" ht="14.25">
      <c r="A422" s="134">
        <v>36472</v>
      </c>
      <c r="B422" s="111">
        <v>34.1504</v>
      </c>
      <c r="C422" s="111">
        <f t="shared" si="7"/>
        <v>0.0341504</v>
      </c>
      <c r="D422" s="111">
        <v>22.0262</v>
      </c>
      <c r="E422" s="111">
        <v>21.1628</v>
      </c>
    </row>
    <row r="423" spans="1:5" ht="14.25">
      <c r="A423" s="134">
        <v>36473</v>
      </c>
      <c r="B423" s="111">
        <v>34.2623</v>
      </c>
      <c r="C423" s="111">
        <f t="shared" si="7"/>
        <v>0.0342623</v>
      </c>
      <c r="D423" s="111">
        <v>22.1428</v>
      </c>
      <c r="E423" s="111">
        <v>21.2809</v>
      </c>
    </row>
    <row r="424" spans="1:5" ht="14.25">
      <c r="A424" s="134">
        <v>36474</v>
      </c>
      <c r="B424" s="111">
        <v>34.646</v>
      </c>
      <c r="C424" s="111">
        <f t="shared" si="7"/>
        <v>0.034646</v>
      </c>
      <c r="D424" s="111">
        <v>22.4498</v>
      </c>
      <c r="E424" s="111">
        <v>21.5367</v>
      </c>
    </row>
    <row r="425" spans="1:5" ht="14.25">
      <c r="A425" s="134">
        <v>36475</v>
      </c>
      <c r="B425" s="111">
        <v>34.7129</v>
      </c>
      <c r="C425" s="111">
        <f t="shared" si="7"/>
        <v>0.0347129</v>
      </c>
      <c r="D425" s="111">
        <v>22.4568</v>
      </c>
      <c r="E425" s="111">
        <v>21.5889</v>
      </c>
    </row>
    <row r="426" spans="1:5" ht="14.25">
      <c r="A426" s="134">
        <v>36476</v>
      </c>
      <c r="B426" s="111">
        <v>34.8581</v>
      </c>
      <c r="C426" s="111">
        <f t="shared" si="7"/>
        <v>0.0348581</v>
      </c>
      <c r="D426" s="111">
        <v>22.551</v>
      </c>
      <c r="E426" s="111">
        <v>21.6712</v>
      </c>
    </row>
    <row r="427" spans="1:5" ht="14.25">
      <c r="A427" s="134">
        <v>36479</v>
      </c>
      <c r="B427" s="111">
        <v>35.5555</v>
      </c>
      <c r="C427" s="111">
        <f t="shared" si="7"/>
        <v>0.035555500000000004</v>
      </c>
      <c r="D427" s="111">
        <v>22.7955</v>
      </c>
      <c r="E427" s="111">
        <v>22.1144</v>
      </c>
    </row>
    <row r="428" spans="1:5" ht="14.25">
      <c r="A428" s="134">
        <v>36480</v>
      </c>
      <c r="B428" s="111">
        <v>36.0668</v>
      </c>
      <c r="C428" s="111">
        <f t="shared" si="7"/>
        <v>0.0360668</v>
      </c>
      <c r="D428" s="111">
        <v>23.1378</v>
      </c>
      <c r="E428" s="111">
        <v>22.4617</v>
      </c>
    </row>
    <row r="429" spans="1:5" ht="14.25">
      <c r="A429" s="134">
        <v>36481</v>
      </c>
      <c r="B429" s="111">
        <v>39.8448</v>
      </c>
      <c r="C429" s="111">
        <f t="shared" si="7"/>
        <v>0.0398448</v>
      </c>
      <c r="D429" s="111">
        <v>25.6644</v>
      </c>
      <c r="E429" s="111">
        <v>24.8301</v>
      </c>
    </row>
    <row r="430" spans="1:5" ht="14.25">
      <c r="A430" s="134">
        <v>36482</v>
      </c>
      <c r="B430" s="111">
        <v>40.2989</v>
      </c>
      <c r="C430" s="111">
        <f t="shared" si="7"/>
        <v>0.040298900000000006</v>
      </c>
      <c r="D430" s="111">
        <v>26.1899</v>
      </c>
      <c r="E430" s="111">
        <v>25.1632</v>
      </c>
    </row>
    <row r="431" spans="1:5" ht="14.25">
      <c r="A431" s="134">
        <v>36483</v>
      </c>
      <c r="B431" s="111">
        <v>40.6651</v>
      </c>
      <c r="C431" s="111">
        <f t="shared" si="7"/>
        <v>0.0406651</v>
      </c>
      <c r="D431" s="111">
        <v>26.3485</v>
      </c>
      <c r="E431" s="111">
        <v>25.3839</v>
      </c>
    </row>
    <row r="432" spans="1:5" ht="14.25">
      <c r="A432" s="134">
        <v>36486</v>
      </c>
      <c r="B432" s="111">
        <v>40.2717</v>
      </c>
      <c r="C432" s="111">
        <f t="shared" si="7"/>
        <v>0.0402717</v>
      </c>
      <c r="D432" s="111">
        <v>25.8204</v>
      </c>
      <c r="E432" s="111">
        <v>25.1196</v>
      </c>
    </row>
    <row r="433" spans="1:5" ht="14.25">
      <c r="A433" s="134">
        <v>36487</v>
      </c>
      <c r="B433" s="111">
        <v>41.5274</v>
      </c>
      <c r="C433" s="111">
        <f t="shared" si="7"/>
        <v>0.0415274</v>
      </c>
      <c r="D433" s="111">
        <v>26.7134</v>
      </c>
      <c r="E433" s="111">
        <v>25.9077</v>
      </c>
    </row>
    <row r="434" spans="1:5" ht="14.25">
      <c r="A434" s="134">
        <v>36488</v>
      </c>
      <c r="B434" s="111">
        <v>40.614</v>
      </c>
      <c r="C434" s="111">
        <f t="shared" si="7"/>
        <v>0.040614</v>
      </c>
      <c r="D434" s="111">
        <v>26.1686</v>
      </c>
      <c r="E434" s="111">
        <v>25.3695</v>
      </c>
    </row>
    <row r="435" spans="1:5" ht="14.25">
      <c r="A435" s="134">
        <v>36489</v>
      </c>
      <c r="B435" s="111">
        <v>39.4393</v>
      </c>
      <c r="C435" s="111">
        <f t="shared" si="7"/>
        <v>0.039439300000000004</v>
      </c>
      <c r="D435" s="111">
        <v>25.1842</v>
      </c>
      <c r="E435" s="111">
        <v>24.6542</v>
      </c>
    </row>
    <row r="436" spans="1:5" ht="14.25">
      <c r="A436" s="134">
        <v>36490</v>
      </c>
      <c r="B436" s="111">
        <v>38.5107</v>
      </c>
      <c r="C436" s="111">
        <f t="shared" si="7"/>
        <v>0.0385107</v>
      </c>
      <c r="D436" s="111">
        <v>24.5377</v>
      </c>
      <c r="E436" s="111">
        <v>24.0707</v>
      </c>
    </row>
    <row r="437" spans="1:5" ht="14.25">
      <c r="A437" s="134">
        <v>36493</v>
      </c>
      <c r="B437" s="111">
        <v>37.5488</v>
      </c>
      <c r="C437" s="111">
        <f t="shared" si="7"/>
        <v>0.0375488</v>
      </c>
      <c r="D437" s="111">
        <v>23.6873</v>
      </c>
      <c r="E437" s="111">
        <v>23.4504</v>
      </c>
    </row>
    <row r="438" spans="1:5" ht="14.25">
      <c r="A438" s="134">
        <v>36494</v>
      </c>
      <c r="B438" s="111">
        <v>38.2148</v>
      </c>
      <c r="C438" s="111">
        <f t="shared" si="7"/>
        <v>0.0382148</v>
      </c>
      <c r="D438" s="111">
        <v>24.0246</v>
      </c>
      <c r="E438" s="111">
        <v>23.8411</v>
      </c>
    </row>
    <row r="439" spans="1:5" ht="14.25">
      <c r="A439" s="134">
        <v>36495</v>
      </c>
      <c r="B439" s="111">
        <v>37.9959</v>
      </c>
      <c r="C439" s="111">
        <f t="shared" si="7"/>
        <v>0.0379959</v>
      </c>
      <c r="D439" s="111">
        <v>23.9463</v>
      </c>
      <c r="E439" s="111">
        <v>23.7163</v>
      </c>
    </row>
    <row r="440" spans="1:5" ht="14.25">
      <c r="A440" s="134">
        <v>36496</v>
      </c>
      <c r="B440" s="111">
        <v>37.8988</v>
      </c>
      <c r="C440" s="111">
        <f t="shared" si="7"/>
        <v>0.0378988</v>
      </c>
      <c r="D440" s="111">
        <v>23.8919</v>
      </c>
      <c r="E440" s="111">
        <v>23.6764</v>
      </c>
    </row>
    <row r="441" spans="1:5" ht="14.25">
      <c r="A441" s="134">
        <v>36497</v>
      </c>
      <c r="B441" s="111">
        <v>36.8852</v>
      </c>
      <c r="C441" s="111">
        <f t="shared" si="7"/>
        <v>0.0368852</v>
      </c>
      <c r="D441" s="111">
        <v>23.1861</v>
      </c>
      <c r="E441" s="111">
        <v>23.0574</v>
      </c>
    </row>
    <row r="442" spans="1:5" ht="14.25">
      <c r="A442" s="134">
        <v>36500</v>
      </c>
      <c r="B442" s="111">
        <v>36.1066</v>
      </c>
      <c r="C442" s="111">
        <f t="shared" si="7"/>
        <v>0.0361066</v>
      </c>
      <c r="D442" s="111">
        <v>22.6472</v>
      </c>
      <c r="E442" s="111">
        <v>22.6133</v>
      </c>
    </row>
    <row r="443" spans="1:5" ht="14.25">
      <c r="A443" s="134">
        <v>36501</v>
      </c>
      <c r="B443" s="111">
        <v>37.1593</v>
      </c>
      <c r="C443" s="111">
        <f t="shared" si="7"/>
        <v>0.0371593</v>
      </c>
      <c r="D443" s="111">
        <v>23.6932</v>
      </c>
      <c r="E443" s="111">
        <v>23.2697</v>
      </c>
    </row>
    <row r="444" spans="1:5" ht="14.25">
      <c r="A444" s="134">
        <v>36502</v>
      </c>
      <c r="B444" s="111">
        <v>37.5068</v>
      </c>
      <c r="C444" s="111">
        <f t="shared" si="7"/>
        <v>0.0375068</v>
      </c>
      <c r="D444" s="111">
        <v>24.0035</v>
      </c>
      <c r="E444" s="111">
        <v>23.4432</v>
      </c>
    </row>
    <row r="445" spans="1:5" ht="14.25">
      <c r="A445" s="134">
        <v>36503</v>
      </c>
      <c r="B445" s="111">
        <v>37.6436</v>
      </c>
      <c r="C445" s="111">
        <f t="shared" si="7"/>
        <v>0.0376436</v>
      </c>
      <c r="D445" s="111">
        <v>24.0614</v>
      </c>
      <c r="E445" s="111">
        <v>23.5067</v>
      </c>
    </row>
    <row r="446" spans="1:5" ht="14.25">
      <c r="A446" s="134">
        <v>36504</v>
      </c>
      <c r="B446" s="111">
        <v>38.4606</v>
      </c>
      <c r="C446" s="111">
        <f t="shared" si="7"/>
        <v>0.0384606</v>
      </c>
      <c r="D446" s="111">
        <v>24.4723</v>
      </c>
      <c r="E446" s="111">
        <v>24.0514</v>
      </c>
    </row>
    <row r="447" spans="1:5" ht="14.25">
      <c r="A447" s="134">
        <v>36507</v>
      </c>
      <c r="B447" s="111">
        <v>37.6707</v>
      </c>
      <c r="C447" s="111">
        <f t="shared" si="7"/>
        <v>0.037670699999999994</v>
      </c>
      <c r="D447" s="111">
        <v>23.9001</v>
      </c>
      <c r="E447" s="111">
        <v>23.5678</v>
      </c>
    </row>
    <row r="448" spans="1:5" ht="14.25">
      <c r="A448" s="134">
        <v>36508</v>
      </c>
      <c r="B448" s="111">
        <v>37.7979</v>
      </c>
      <c r="C448" s="111">
        <f t="shared" si="7"/>
        <v>0.0377979</v>
      </c>
      <c r="D448" s="111">
        <v>23.8962</v>
      </c>
      <c r="E448" s="111">
        <v>23.5942</v>
      </c>
    </row>
    <row r="449" spans="1:5" ht="14.25">
      <c r="A449" s="134">
        <v>36509</v>
      </c>
      <c r="B449" s="111">
        <v>38.2772</v>
      </c>
      <c r="C449" s="111">
        <f t="shared" si="7"/>
        <v>0.038277200000000004</v>
      </c>
      <c r="D449" s="111">
        <v>23.9886</v>
      </c>
      <c r="E449" s="111">
        <v>23.8978</v>
      </c>
    </row>
    <row r="450" spans="1:5" ht="14.25">
      <c r="A450" s="134">
        <v>36510</v>
      </c>
      <c r="B450" s="111">
        <v>39.4355</v>
      </c>
      <c r="C450" s="111">
        <f t="shared" si="7"/>
        <v>0.0394355</v>
      </c>
      <c r="D450" s="111">
        <v>24.6974</v>
      </c>
      <c r="E450" s="111">
        <v>24.6457</v>
      </c>
    </row>
    <row r="451" spans="1:5" ht="14.25">
      <c r="A451" s="134">
        <v>36511</v>
      </c>
      <c r="B451" s="111">
        <v>38.2876</v>
      </c>
      <c r="C451" s="111">
        <f aca="true" t="shared" si="8" ref="C451:C514">B451*10^-3</f>
        <v>0.0382876</v>
      </c>
      <c r="D451" s="111">
        <v>24.2549</v>
      </c>
      <c r="E451" s="111">
        <v>23.9058</v>
      </c>
    </row>
    <row r="452" spans="1:5" ht="14.25">
      <c r="A452" s="134">
        <v>36514</v>
      </c>
      <c r="B452" s="111">
        <v>37.4938</v>
      </c>
      <c r="C452" s="111">
        <f t="shared" si="8"/>
        <v>0.0374938</v>
      </c>
      <c r="D452" s="111">
        <v>23.6921</v>
      </c>
      <c r="E452" s="111">
        <v>23.3927</v>
      </c>
    </row>
    <row r="453" spans="1:5" ht="14.25">
      <c r="A453" s="134">
        <v>36515</v>
      </c>
      <c r="B453" s="111">
        <v>37.5138</v>
      </c>
      <c r="C453" s="111">
        <f t="shared" si="8"/>
        <v>0.03751380000000001</v>
      </c>
      <c r="D453" s="111">
        <v>23.6653</v>
      </c>
      <c r="E453" s="111">
        <v>23.4403</v>
      </c>
    </row>
    <row r="454" spans="1:5" ht="14.25">
      <c r="A454" s="134">
        <v>36516</v>
      </c>
      <c r="B454" s="111">
        <v>37.4249</v>
      </c>
      <c r="C454" s="111">
        <f t="shared" si="8"/>
        <v>0.037424900000000004</v>
      </c>
      <c r="D454" s="111">
        <v>23.5959</v>
      </c>
      <c r="E454" s="111">
        <v>23.3993</v>
      </c>
    </row>
    <row r="455" spans="1:5" ht="14.25">
      <c r="A455" s="134">
        <v>36517</v>
      </c>
      <c r="B455" s="111">
        <v>37.2176</v>
      </c>
      <c r="C455" s="111">
        <f t="shared" si="8"/>
        <v>0.037217599999999997</v>
      </c>
      <c r="D455" s="111">
        <v>23.4478</v>
      </c>
      <c r="E455" s="111">
        <v>23.2756</v>
      </c>
    </row>
    <row r="456" spans="1:5" ht="14.25">
      <c r="A456" s="134">
        <v>36518</v>
      </c>
      <c r="B456" s="111">
        <v>28.4181</v>
      </c>
      <c r="C456" s="111">
        <f t="shared" si="8"/>
        <v>0.028418099999999998</v>
      </c>
      <c r="D456" s="111">
        <v>17.9071</v>
      </c>
      <c r="E456" s="111">
        <v>17.7491</v>
      </c>
    </row>
    <row r="457" spans="1:5" ht="14.25">
      <c r="A457" s="134">
        <v>36521</v>
      </c>
      <c r="B457" s="111">
        <v>28.6254</v>
      </c>
      <c r="C457" s="111">
        <f t="shared" si="8"/>
        <v>0.0286254</v>
      </c>
      <c r="D457" s="111">
        <v>17.938</v>
      </c>
      <c r="E457" s="111">
        <v>17.6869</v>
      </c>
    </row>
    <row r="458" spans="1:5" ht="14.25">
      <c r="A458" s="134">
        <v>36522</v>
      </c>
      <c r="B458" s="111">
        <v>30.102</v>
      </c>
      <c r="C458" s="111">
        <f t="shared" si="8"/>
        <v>0.030102</v>
      </c>
      <c r="D458" s="111">
        <v>18.9543</v>
      </c>
      <c r="E458" s="111">
        <v>18.7037</v>
      </c>
    </row>
    <row r="459" spans="1:5" ht="14.25">
      <c r="A459" s="134">
        <v>36523</v>
      </c>
      <c r="B459" s="111">
        <v>30.0006</v>
      </c>
      <c r="C459" s="111">
        <f t="shared" si="8"/>
        <v>0.0300006</v>
      </c>
      <c r="D459" s="111">
        <v>18.8501</v>
      </c>
      <c r="E459" s="111">
        <v>18.6838</v>
      </c>
    </row>
    <row r="460" spans="1:5" ht="14.25">
      <c r="A460" s="134">
        <v>36524</v>
      </c>
      <c r="B460" s="111">
        <v>29.9864</v>
      </c>
      <c r="C460" s="111">
        <f t="shared" si="8"/>
        <v>0.0299864</v>
      </c>
      <c r="D460" s="111">
        <v>18.8071</v>
      </c>
      <c r="E460" s="111">
        <v>18.6726</v>
      </c>
    </row>
    <row r="461" spans="1:5" ht="14.25">
      <c r="A461" s="134">
        <v>36525</v>
      </c>
      <c r="B461" s="111">
        <v>26.3015</v>
      </c>
      <c r="C461" s="111">
        <f t="shared" si="8"/>
        <v>0.026301500000000002</v>
      </c>
      <c r="D461" s="111">
        <v>16.4616</v>
      </c>
      <c r="E461" s="111">
        <v>16.3862</v>
      </c>
    </row>
    <row r="462" spans="1:5" ht="14.25">
      <c r="A462" s="134">
        <v>36528</v>
      </c>
      <c r="B462" s="111">
        <v>38.6326</v>
      </c>
      <c r="C462" s="111">
        <f t="shared" si="8"/>
        <v>0.038632599999999996</v>
      </c>
      <c r="D462" s="111">
        <v>24.1794</v>
      </c>
      <c r="E462" s="111">
        <v>24.0687</v>
      </c>
    </row>
    <row r="463" spans="1:5" ht="14.25">
      <c r="A463" s="134">
        <v>36529</v>
      </c>
      <c r="B463" s="111">
        <v>35.6637</v>
      </c>
      <c r="C463" s="111">
        <f t="shared" si="8"/>
        <v>0.0356637</v>
      </c>
      <c r="D463" s="111">
        <v>22.4302</v>
      </c>
      <c r="E463" s="111">
        <v>22.2301</v>
      </c>
    </row>
    <row r="464" spans="1:5" ht="14.25">
      <c r="A464" s="134">
        <v>36530</v>
      </c>
      <c r="B464" s="111">
        <v>33.5789</v>
      </c>
      <c r="C464" s="111">
        <f t="shared" si="8"/>
        <v>0.033578899999999995</v>
      </c>
      <c r="D464" s="111">
        <v>21.5555</v>
      </c>
      <c r="E464" s="111">
        <v>20.9175</v>
      </c>
    </row>
    <row r="465" spans="1:5" ht="14.25">
      <c r="A465" s="134">
        <v>36531</v>
      </c>
      <c r="B465" s="111">
        <v>29.7962</v>
      </c>
      <c r="C465" s="111">
        <f t="shared" si="8"/>
        <v>0.0297962</v>
      </c>
      <c r="D465" s="111">
        <v>19.2358</v>
      </c>
      <c r="E465" s="111">
        <v>18.553</v>
      </c>
    </row>
    <row r="466" spans="1:5" ht="14.25">
      <c r="A466" s="134">
        <v>36532</v>
      </c>
      <c r="B466" s="111">
        <v>31.2189</v>
      </c>
      <c r="C466" s="111">
        <f t="shared" si="8"/>
        <v>0.0312189</v>
      </c>
      <c r="D466" s="111">
        <v>20.1831</v>
      </c>
      <c r="E466" s="111">
        <v>19.4293</v>
      </c>
    </row>
    <row r="467" spans="1:5" ht="14.25">
      <c r="A467" s="134">
        <v>36535</v>
      </c>
      <c r="B467" s="111">
        <v>36.4757</v>
      </c>
      <c r="C467" s="111">
        <f t="shared" si="8"/>
        <v>0.03647570000000001</v>
      </c>
      <c r="D467" s="111">
        <v>23.3295</v>
      </c>
      <c r="E467" s="111">
        <v>22.6853</v>
      </c>
    </row>
    <row r="468" spans="1:5" ht="14.25">
      <c r="A468" s="134">
        <v>36536</v>
      </c>
      <c r="B468" s="111">
        <v>38.0824</v>
      </c>
      <c r="C468" s="111">
        <f t="shared" si="8"/>
        <v>0.0380824</v>
      </c>
      <c r="D468" s="111">
        <v>24.2119</v>
      </c>
      <c r="E468" s="111">
        <v>23.6698</v>
      </c>
    </row>
    <row r="469" spans="1:5" ht="14.25">
      <c r="A469" s="134">
        <v>36537</v>
      </c>
      <c r="B469" s="111">
        <v>38.5174</v>
      </c>
      <c r="C469" s="111">
        <f t="shared" si="8"/>
        <v>0.0385174</v>
      </c>
      <c r="D469" s="111">
        <v>24.547</v>
      </c>
      <c r="E469" s="111">
        <v>23.9343</v>
      </c>
    </row>
    <row r="470" spans="1:5" ht="14.25">
      <c r="A470" s="134">
        <v>36538</v>
      </c>
      <c r="B470" s="111">
        <v>38.694</v>
      </c>
      <c r="C470" s="111">
        <f t="shared" si="8"/>
        <v>0.038694000000000006</v>
      </c>
      <c r="D470" s="111">
        <v>24.7769</v>
      </c>
      <c r="E470" s="111">
        <v>24.0365</v>
      </c>
    </row>
    <row r="471" spans="1:5" ht="14.25">
      <c r="A471" s="134">
        <v>36539</v>
      </c>
      <c r="B471" s="111">
        <v>38.9314</v>
      </c>
      <c r="C471" s="111">
        <f t="shared" si="8"/>
        <v>0.0389314</v>
      </c>
      <c r="D471" s="111">
        <v>24.8315</v>
      </c>
      <c r="E471" s="111">
        <v>24.1645</v>
      </c>
    </row>
    <row r="472" spans="1:5" ht="14.25">
      <c r="A472" s="134">
        <v>36542</v>
      </c>
      <c r="B472" s="111">
        <v>39.7207</v>
      </c>
      <c r="C472" s="111">
        <f t="shared" si="8"/>
        <v>0.039720700000000005</v>
      </c>
      <c r="D472" s="111">
        <v>25.1794</v>
      </c>
      <c r="E472" s="111">
        <v>24.6253</v>
      </c>
    </row>
    <row r="473" spans="1:5" ht="14.25">
      <c r="A473" s="134">
        <v>36543</v>
      </c>
      <c r="B473" s="111">
        <v>40.1837</v>
      </c>
      <c r="C473" s="111">
        <f t="shared" si="8"/>
        <v>0.0401837</v>
      </c>
      <c r="D473" s="111">
        <v>25.1372</v>
      </c>
      <c r="E473" s="111">
        <v>24.9031</v>
      </c>
    </row>
    <row r="474" spans="1:5" ht="14.25">
      <c r="A474" s="134">
        <v>36544</v>
      </c>
      <c r="B474" s="111">
        <v>40.2799</v>
      </c>
      <c r="C474" s="111">
        <f t="shared" si="8"/>
        <v>0.0402799</v>
      </c>
      <c r="D474" s="111">
        <v>25.2027</v>
      </c>
      <c r="E474" s="111">
        <v>24.9705</v>
      </c>
    </row>
    <row r="475" spans="1:5" ht="14.25">
      <c r="A475" s="134">
        <v>36545</v>
      </c>
      <c r="B475" s="111">
        <v>41.2238</v>
      </c>
      <c r="C475" s="111">
        <f t="shared" si="8"/>
        <v>0.0412238</v>
      </c>
      <c r="D475" s="111">
        <v>25.8416</v>
      </c>
      <c r="E475" s="111">
        <v>25.5731</v>
      </c>
    </row>
    <row r="476" spans="1:5" ht="14.25">
      <c r="A476" s="134">
        <v>36546</v>
      </c>
      <c r="B476" s="111">
        <v>41.5413</v>
      </c>
      <c r="C476" s="111">
        <f t="shared" si="8"/>
        <v>0.0415413</v>
      </c>
      <c r="D476" s="111">
        <v>25.9559</v>
      </c>
      <c r="E476" s="111">
        <v>25.727</v>
      </c>
    </row>
    <row r="477" spans="1:5" ht="14.25">
      <c r="A477" s="134">
        <v>36549</v>
      </c>
      <c r="B477" s="111">
        <v>44.1896</v>
      </c>
      <c r="C477" s="111">
        <f t="shared" si="8"/>
        <v>0.0441896</v>
      </c>
      <c r="D477" s="111">
        <v>27.7097</v>
      </c>
      <c r="E477" s="111">
        <v>27.4435</v>
      </c>
    </row>
    <row r="478" spans="1:5" ht="14.25">
      <c r="A478" s="134">
        <v>36550</v>
      </c>
      <c r="B478" s="111">
        <v>46.8849</v>
      </c>
      <c r="C478" s="111">
        <f t="shared" si="8"/>
        <v>0.0468849</v>
      </c>
      <c r="D478" s="111">
        <v>29.1346</v>
      </c>
      <c r="E478" s="111">
        <v>29.0561</v>
      </c>
    </row>
    <row r="479" spans="1:5" ht="14.25">
      <c r="A479" s="134">
        <v>36551</v>
      </c>
      <c r="B479" s="111">
        <v>48.2428</v>
      </c>
      <c r="C479" s="111">
        <f t="shared" si="8"/>
        <v>0.0482428</v>
      </c>
      <c r="D479" s="111">
        <v>29.9494</v>
      </c>
      <c r="E479" s="111">
        <v>29.9254</v>
      </c>
    </row>
    <row r="480" spans="1:5" ht="14.25">
      <c r="A480" s="134">
        <v>36552</v>
      </c>
      <c r="B480" s="111">
        <v>49.0548</v>
      </c>
      <c r="C480" s="111">
        <f t="shared" si="8"/>
        <v>0.0490548</v>
      </c>
      <c r="D480" s="111">
        <v>30.4964</v>
      </c>
      <c r="E480" s="111">
        <v>30.4386</v>
      </c>
    </row>
    <row r="481" spans="1:5" ht="14.25">
      <c r="A481" s="134">
        <v>36553</v>
      </c>
      <c r="B481" s="111">
        <v>47.3968</v>
      </c>
      <c r="C481" s="111">
        <f t="shared" si="8"/>
        <v>0.0473968</v>
      </c>
      <c r="D481" s="111">
        <v>29.3447</v>
      </c>
      <c r="E481" s="111">
        <v>29.4153</v>
      </c>
    </row>
    <row r="482" spans="1:5" ht="14.25">
      <c r="A482" s="134">
        <v>36556</v>
      </c>
      <c r="B482" s="111">
        <v>44.994</v>
      </c>
      <c r="C482" s="111">
        <f t="shared" si="8"/>
        <v>0.044994</v>
      </c>
      <c r="D482" s="111">
        <v>27.4859</v>
      </c>
      <c r="E482" s="111">
        <v>27.9102</v>
      </c>
    </row>
    <row r="483" spans="1:5" ht="14.25">
      <c r="A483" s="134">
        <v>36557</v>
      </c>
      <c r="B483" s="111">
        <v>43.3766</v>
      </c>
      <c r="C483" s="111">
        <f t="shared" si="8"/>
        <v>0.0433766</v>
      </c>
      <c r="D483" s="111">
        <v>26.3936</v>
      </c>
      <c r="E483" s="111">
        <v>26.9571</v>
      </c>
    </row>
    <row r="484" spans="1:5" ht="14.25">
      <c r="A484" s="134">
        <v>36558</v>
      </c>
      <c r="B484" s="111">
        <v>41.106</v>
      </c>
      <c r="C484" s="111">
        <f t="shared" si="8"/>
        <v>0.041106000000000004</v>
      </c>
      <c r="D484" s="111">
        <v>24.8252</v>
      </c>
      <c r="E484" s="111">
        <v>25.5666</v>
      </c>
    </row>
    <row r="485" spans="1:5" ht="14.25">
      <c r="A485" s="134">
        <v>36559</v>
      </c>
      <c r="B485" s="111">
        <v>40.1375</v>
      </c>
      <c r="C485" s="111">
        <f t="shared" si="8"/>
        <v>0.040137500000000007</v>
      </c>
      <c r="D485" s="111">
        <v>24.2231</v>
      </c>
      <c r="E485" s="111">
        <v>24.9286</v>
      </c>
    </row>
    <row r="486" spans="1:5" ht="14.25">
      <c r="A486" s="134">
        <v>36560</v>
      </c>
      <c r="B486" s="111">
        <v>39.1115</v>
      </c>
      <c r="C486" s="111">
        <f t="shared" si="8"/>
        <v>0.0391115</v>
      </c>
      <c r="D486" s="111">
        <v>23.7057</v>
      </c>
      <c r="E486" s="111">
        <v>24.3186</v>
      </c>
    </row>
    <row r="487" spans="1:5" ht="14.25">
      <c r="A487" s="134">
        <v>36563</v>
      </c>
      <c r="B487" s="111">
        <v>38.2767</v>
      </c>
      <c r="C487" s="111">
        <f t="shared" si="8"/>
        <v>0.0382767</v>
      </c>
      <c r="D487" s="111">
        <v>23.4155</v>
      </c>
      <c r="E487" s="111">
        <v>23.8084</v>
      </c>
    </row>
    <row r="488" spans="1:5" ht="14.25">
      <c r="A488" s="134">
        <v>36564</v>
      </c>
      <c r="B488" s="111">
        <v>39.2071</v>
      </c>
      <c r="C488" s="111">
        <f t="shared" si="8"/>
        <v>0.039207099999999995</v>
      </c>
      <c r="D488" s="111">
        <v>23.8366</v>
      </c>
      <c r="E488" s="111">
        <v>24.4053</v>
      </c>
    </row>
    <row r="489" spans="1:5" ht="14.25">
      <c r="A489" s="134">
        <v>36565</v>
      </c>
      <c r="B489" s="111">
        <v>39.5541</v>
      </c>
      <c r="C489" s="111">
        <f t="shared" si="8"/>
        <v>0.0395541</v>
      </c>
      <c r="D489" s="111">
        <v>24.3688</v>
      </c>
      <c r="E489" s="111">
        <v>24.6075</v>
      </c>
    </row>
    <row r="490" spans="1:5" ht="14.25">
      <c r="A490" s="134">
        <v>36566</v>
      </c>
      <c r="B490" s="111">
        <v>39.6985</v>
      </c>
      <c r="C490" s="111">
        <f t="shared" si="8"/>
        <v>0.039698500000000005</v>
      </c>
      <c r="D490" s="111">
        <v>24.5069</v>
      </c>
      <c r="E490" s="111">
        <v>24.6697</v>
      </c>
    </row>
    <row r="491" spans="1:5" ht="14.25">
      <c r="A491" s="134">
        <v>36567</v>
      </c>
      <c r="B491" s="111">
        <v>38.8626</v>
      </c>
      <c r="C491" s="111">
        <f t="shared" si="8"/>
        <v>0.038862600000000004</v>
      </c>
      <c r="D491" s="111">
        <v>23.879</v>
      </c>
      <c r="E491" s="111">
        <v>24.1984</v>
      </c>
    </row>
    <row r="492" spans="1:5" ht="14.25">
      <c r="A492" s="134">
        <v>36570</v>
      </c>
      <c r="B492" s="111">
        <v>39.1732</v>
      </c>
      <c r="C492" s="111">
        <f t="shared" si="8"/>
        <v>0.039173200000000005</v>
      </c>
      <c r="D492" s="111">
        <v>23.9123</v>
      </c>
      <c r="E492" s="111">
        <v>24.3979</v>
      </c>
    </row>
    <row r="493" spans="1:5" ht="14.25">
      <c r="A493" s="134">
        <v>36571</v>
      </c>
      <c r="B493" s="111">
        <v>38.6282</v>
      </c>
      <c r="C493" s="111">
        <f t="shared" si="8"/>
        <v>0.0386282</v>
      </c>
      <c r="D493" s="111">
        <v>23.7237</v>
      </c>
      <c r="E493" s="111">
        <v>24.0434</v>
      </c>
    </row>
    <row r="494" spans="1:5" ht="14.25">
      <c r="A494" s="134">
        <v>36572</v>
      </c>
      <c r="B494" s="111">
        <v>40.6321</v>
      </c>
      <c r="C494" s="111">
        <f t="shared" si="8"/>
        <v>0.040632100000000004</v>
      </c>
      <c r="D494" s="111">
        <v>24.737</v>
      </c>
      <c r="E494" s="111">
        <v>25.2986</v>
      </c>
    </row>
    <row r="495" spans="1:5" ht="14.25">
      <c r="A495" s="134">
        <v>36573</v>
      </c>
      <c r="B495" s="111">
        <v>39.4535</v>
      </c>
      <c r="C495" s="111">
        <f t="shared" si="8"/>
        <v>0.0394535</v>
      </c>
      <c r="D495" s="111">
        <v>24.1209</v>
      </c>
      <c r="E495" s="111">
        <v>24.6031</v>
      </c>
    </row>
    <row r="496" spans="1:5" ht="14.25">
      <c r="A496" s="134">
        <v>36574</v>
      </c>
      <c r="B496" s="111">
        <v>39.479</v>
      </c>
      <c r="C496" s="111">
        <f t="shared" si="8"/>
        <v>0.039479</v>
      </c>
      <c r="D496" s="111">
        <v>24.4104</v>
      </c>
      <c r="E496" s="111">
        <v>24.6098</v>
      </c>
    </row>
    <row r="497" spans="1:5" ht="14.25">
      <c r="A497" s="134">
        <v>36577</v>
      </c>
      <c r="B497" s="111">
        <v>38.1012</v>
      </c>
      <c r="C497" s="111">
        <f t="shared" si="8"/>
        <v>0.0381012</v>
      </c>
      <c r="D497" s="111">
        <v>23.4259</v>
      </c>
      <c r="E497" s="111">
        <v>23.7657</v>
      </c>
    </row>
    <row r="498" spans="1:5" ht="14.25">
      <c r="A498" s="134">
        <v>36578</v>
      </c>
      <c r="B498" s="111">
        <v>37.648</v>
      </c>
      <c r="C498" s="111">
        <f t="shared" si="8"/>
        <v>0.037648</v>
      </c>
      <c r="D498" s="111">
        <v>23.1487</v>
      </c>
      <c r="E498" s="111">
        <v>23.4845</v>
      </c>
    </row>
    <row r="499" spans="1:5" ht="14.25">
      <c r="A499" s="134">
        <v>36579</v>
      </c>
      <c r="B499" s="111">
        <v>38.2223</v>
      </c>
      <c r="C499" s="111">
        <f t="shared" si="8"/>
        <v>0.0382223</v>
      </c>
      <c r="D499" s="111">
        <v>23.8343</v>
      </c>
      <c r="E499" s="111">
        <v>23.7819</v>
      </c>
    </row>
    <row r="500" spans="1:5" ht="14.25">
      <c r="A500" s="134">
        <v>36580</v>
      </c>
      <c r="B500" s="111">
        <v>38.2328</v>
      </c>
      <c r="C500" s="111">
        <f t="shared" si="8"/>
        <v>0.0382328</v>
      </c>
      <c r="D500" s="111">
        <v>23.9011</v>
      </c>
      <c r="E500" s="111">
        <v>23.7397</v>
      </c>
    </row>
    <row r="501" spans="1:5" ht="14.25">
      <c r="A501" s="134">
        <v>36581</v>
      </c>
      <c r="B501" s="111">
        <v>37.9577</v>
      </c>
      <c r="C501" s="111">
        <f t="shared" si="8"/>
        <v>0.037957700000000004</v>
      </c>
      <c r="D501" s="111">
        <v>23.3343</v>
      </c>
      <c r="E501" s="111">
        <v>23.5748</v>
      </c>
    </row>
    <row r="502" spans="1:5" ht="14.25">
      <c r="A502" s="134">
        <v>36584</v>
      </c>
      <c r="B502" s="111">
        <v>37.576</v>
      </c>
      <c r="C502" s="111">
        <f t="shared" si="8"/>
        <v>0.037576</v>
      </c>
      <c r="D502" s="111">
        <v>22.9269</v>
      </c>
      <c r="E502" s="111">
        <v>23.3638</v>
      </c>
    </row>
    <row r="503" spans="1:5" ht="14.25">
      <c r="A503" s="134">
        <v>36585</v>
      </c>
      <c r="B503" s="111">
        <v>37.973</v>
      </c>
      <c r="C503" s="111">
        <f t="shared" si="8"/>
        <v>0.037973</v>
      </c>
      <c r="D503" s="111">
        <v>22.7852</v>
      </c>
      <c r="E503" s="111">
        <v>23.6386</v>
      </c>
    </row>
    <row r="504" spans="1:5" ht="14.25">
      <c r="A504" s="134">
        <v>36586</v>
      </c>
      <c r="B504" s="111">
        <v>36.5455</v>
      </c>
      <c r="C504" s="111">
        <f t="shared" si="8"/>
        <v>0.036545499999999995</v>
      </c>
      <c r="D504" s="111">
        <v>22.0952</v>
      </c>
      <c r="E504" s="111">
        <v>22.7457</v>
      </c>
    </row>
    <row r="505" spans="1:5" ht="14.25">
      <c r="A505" s="134">
        <v>36587</v>
      </c>
      <c r="B505" s="111">
        <v>36.1187</v>
      </c>
      <c r="C505" s="111">
        <f t="shared" si="8"/>
        <v>0.0361187</v>
      </c>
      <c r="D505" s="111">
        <v>21.7328</v>
      </c>
      <c r="E505" s="111">
        <v>22.4815</v>
      </c>
    </row>
    <row r="506" spans="1:5" ht="14.25">
      <c r="A506" s="134">
        <v>36588</v>
      </c>
      <c r="B506" s="111">
        <v>35.4353</v>
      </c>
      <c r="C506" s="111">
        <f t="shared" si="8"/>
        <v>0.035435299999999996</v>
      </c>
      <c r="D506" s="111">
        <v>21.4375</v>
      </c>
      <c r="E506" s="111">
        <v>22.0437</v>
      </c>
    </row>
    <row r="507" spans="1:5" ht="14.25">
      <c r="A507" s="134">
        <v>36591</v>
      </c>
      <c r="B507" s="111">
        <v>35.7085</v>
      </c>
      <c r="C507" s="111">
        <f t="shared" si="8"/>
        <v>0.035708500000000004</v>
      </c>
      <c r="D507" s="111">
        <v>21.4722</v>
      </c>
      <c r="E507" s="111">
        <v>22.2303</v>
      </c>
    </row>
    <row r="508" spans="1:5" ht="14.25">
      <c r="A508" s="134">
        <v>36592</v>
      </c>
      <c r="B508" s="111">
        <v>36.5758</v>
      </c>
      <c r="C508" s="111">
        <f t="shared" si="8"/>
        <v>0.0365758</v>
      </c>
      <c r="D508" s="111">
        <v>21.9382</v>
      </c>
      <c r="E508" s="111">
        <v>22.7575</v>
      </c>
    </row>
    <row r="509" spans="1:5" ht="14.25">
      <c r="A509" s="134">
        <v>36593</v>
      </c>
      <c r="B509" s="111">
        <v>36.8874</v>
      </c>
      <c r="C509" s="111">
        <f t="shared" si="8"/>
        <v>0.0368874</v>
      </c>
      <c r="D509" s="111">
        <v>22.0022</v>
      </c>
      <c r="E509" s="111">
        <v>22.9356</v>
      </c>
    </row>
    <row r="510" spans="1:5" ht="14.25">
      <c r="A510" s="134">
        <v>36594</v>
      </c>
      <c r="B510" s="111">
        <v>35.8476</v>
      </c>
      <c r="C510" s="111">
        <f t="shared" si="8"/>
        <v>0.0358476</v>
      </c>
      <c r="D510" s="111">
        <v>21.2997</v>
      </c>
      <c r="E510" s="111">
        <v>22.3197</v>
      </c>
    </row>
    <row r="511" spans="1:5" ht="14.25">
      <c r="A511" s="134">
        <v>36595</v>
      </c>
      <c r="B511" s="111">
        <v>36.3497</v>
      </c>
      <c r="C511" s="111">
        <f t="shared" si="8"/>
        <v>0.0363497</v>
      </c>
      <c r="D511" s="111">
        <v>21.7632</v>
      </c>
      <c r="E511" s="111">
        <v>22.6323</v>
      </c>
    </row>
    <row r="512" spans="1:5" ht="14.25">
      <c r="A512" s="134">
        <v>36598</v>
      </c>
      <c r="B512" s="111">
        <v>35.8896</v>
      </c>
      <c r="C512" s="111">
        <f t="shared" si="8"/>
        <v>0.0358896</v>
      </c>
      <c r="D512" s="111">
        <v>21.4583</v>
      </c>
      <c r="E512" s="111">
        <v>22.3222</v>
      </c>
    </row>
    <row r="513" spans="1:5" ht="14.25">
      <c r="A513" s="134">
        <v>36599</v>
      </c>
      <c r="B513" s="111">
        <v>35.4641</v>
      </c>
      <c r="C513" s="111">
        <f t="shared" si="8"/>
        <v>0.035464100000000005</v>
      </c>
      <c r="D513" s="111">
        <v>21.3912</v>
      </c>
      <c r="E513" s="111">
        <v>22.0164</v>
      </c>
    </row>
    <row r="514" spans="1:5" ht="14.25">
      <c r="A514" s="134">
        <v>36600</v>
      </c>
      <c r="B514" s="111">
        <v>33.9527</v>
      </c>
      <c r="C514" s="111">
        <f t="shared" si="8"/>
        <v>0.0339527</v>
      </c>
      <c r="D514" s="111">
        <v>20.2696</v>
      </c>
      <c r="E514" s="111">
        <v>21.0703</v>
      </c>
    </row>
    <row r="515" spans="1:5" ht="14.25">
      <c r="A515" s="134">
        <v>36601</v>
      </c>
      <c r="B515" s="111">
        <v>34.2605</v>
      </c>
      <c r="C515" s="111">
        <f aca="true" t="shared" si="9" ref="C515:C578">B515*10^-3</f>
        <v>0.0342605</v>
      </c>
      <c r="D515" s="111">
        <v>20.5095</v>
      </c>
      <c r="E515" s="111">
        <v>21.26</v>
      </c>
    </row>
    <row r="516" spans="1:5" ht="14.25">
      <c r="A516" s="134">
        <v>36602</v>
      </c>
      <c r="B516" s="111">
        <v>33.9731</v>
      </c>
      <c r="C516" s="111">
        <f t="shared" si="9"/>
        <v>0.033973100000000006</v>
      </c>
      <c r="D516" s="111">
        <v>20.375</v>
      </c>
      <c r="E516" s="111">
        <v>21.0856</v>
      </c>
    </row>
    <row r="517" spans="1:5" ht="14.25">
      <c r="A517" s="134">
        <v>36605</v>
      </c>
      <c r="B517" s="111">
        <v>35.1076</v>
      </c>
      <c r="C517" s="111">
        <f t="shared" si="9"/>
        <v>0.035107599999999996</v>
      </c>
      <c r="D517" s="111">
        <v>21.0567</v>
      </c>
      <c r="E517" s="111">
        <v>21.7708</v>
      </c>
    </row>
    <row r="518" spans="1:5" ht="14.25">
      <c r="A518" s="134">
        <v>36606</v>
      </c>
      <c r="B518" s="111">
        <v>34.6098</v>
      </c>
      <c r="C518" s="111">
        <f t="shared" si="9"/>
        <v>0.0346098</v>
      </c>
      <c r="D518" s="111">
        <v>20.8504</v>
      </c>
      <c r="E518" s="111">
        <v>21.4621</v>
      </c>
    </row>
    <row r="519" spans="1:5" ht="14.25">
      <c r="A519" s="134">
        <v>36607</v>
      </c>
      <c r="B519" s="111">
        <v>34.553</v>
      </c>
      <c r="C519" s="111">
        <f t="shared" si="9"/>
        <v>0.034553</v>
      </c>
      <c r="D519" s="111">
        <v>20.7991</v>
      </c>
      <c r="E519" s="111">
        <v>21.4402</v>
      </c>
    </row>
    <row r="520" spans="1:5" ht="14.25">
      <c r="A520" s="134">
        <v>36608</v>
      </c>
      <c r="B520" s="111">
        <v>30.9251</v>
      </c>
      <c r="C520" s="111">
        <f t="shared" si="9"/>
        <v>0.0309251</v>
      </c>
      <c r="D520" s="111">
        <v>18.4513</v>
      </c>
      <c r="E520" s="111">
        <v>19.2141</v>
      </c>
    </row>
    <row r="521" spans="1:5" ht="14.25">
      <c r="A521" s="134">
        <v>36609</v>
      </c>
      <c r="B521" s="111">
        <v>31.7638</v>
      </c>
      <c r="C521" s="111">
        <f t="shared" si="9"/>
        <v>0.0317638</v>
      </c>
      <c r="D521" s="111">
        <v>19.1157</v>
      </c>
      <c r="E521" s="111">
        <v>19.7967</v>
      </c>
    </row>
    <row r="522" spans="1:5" ht="14.25">
      <c r="A522" s="134">
        <v>36612</v>
      </c>
      <c r="B522" s="111">
        <v>33.709</v>
      </c>
      <c r="C522" s="111">
        <f t="shared" si="9"/>
        <v>0.033709</v>
      </c>
      <c r="D522" s="111">
        <v>20.5499</v>
      </c>
      <c r="E522" s="111">
        <v>21.1527</v>
      </c>
    </row>
    <row r="523" spans="1:5" ht="14.25">
      <c r="A523" s="134">
        <v>36613</v>
      </c>
      <c r="B523" s="111">
        <v>34.7273</v>
      </c>
      <c r="C523" s="111">
        <f t="shared" si="9"/>
        <v>0.0347273</v>
      </c>
      <c r="D523" s="111">
        <v>21.2014</v>
      </c>
      <c r="E523" s="111">
        <v>21.8301</v>
      </c>
    </row>
    <row r="524" spans="1:5" ht="14.25">
      <c r="A524" s="134">
        <v>36614</v>
      </c>
      <c r="B524" s="111">
        <v>35.175</v>
      </c>
      <c r="C524" s="111">
        <f t="shared" si="9"/>
        <v>0.035175</v>
      </c>
      <c r="D524" s="111">
        <v>21.3363</v>
      </c>
      <c r="E524" s="111">
        <v>22.1171</v>
      </c>
    </row>
    <row r="525" spans="1:5" ht="14.25">
      <c r="A525" s="134">
        <v>36615</v>
      </c>
      <c r="B525" s="111">
        <v>36.5474</v>
      </c>
      <c r="C525" s="111">
        <f t="shared" si="9"/>
        <v>0.0365474</v>
      </c>
      <c r="D525" s="111">
        <v>21.9983</v>
      </c>
      <c r="E525" s="111">
        <v>22.9916</v>
      </c>
    </row>
    <row r="526" spans="1:5" ht="14.25">
      <c r="A526" s="134">
        <v>36616</v>
      </c>
      <c r="B526" s="111">
        <v>39.2079</v>
      </c>
      <c r="C526" s="111">
        <f t="shared" si="9"/>
        <v>0.039207900000000004</v>
      </c>
      <c r="D526" s="111">
        <v>23.5484</v>
      </c>
      <c r="E526" s="111">
        <v>24.6451</v>
      </c>
    </row>
    <row r="527" spans="1:5" ht="14.25">
      <c r="A527" s="134">
        <v>36619</v>
      </c>
      <c r="B527" s="111">
        <v>40.8522</v>
      </c>
      <c r="C527" s="111">
        <f t="shared" si="9"/>
        <v>0.040852200000000005</v>
      </c>
      <c r="D527" s="111">
        <v>24.5339</v>
      </c>
      <c r="E527" s="111">
        <v>25.6819</v>
      </c>
    </row>
    <row r="528" spans="1:5" ht="14.25">
      <c r="A528" s="134">
        <v>36620</v>
      </c>
      <c r="B528" s="111">
        <v>39.154</v>
      </c>
      <c r="C528" s="111">
        <f t="shared" si="9"/>
        <v>0.039154</v>
      </c>
      <c r="D528" s="111">
        <v>23.5722</v>
      </c>
      <c r="E528" s="111">
        <v>24.6468</v>
      </c>
    </row>
    <row r="529" spans="1:5" ht="14.25">
      <c r="A529" s="134">
        <v>36621</v>
      </c>
      <c r="B529" s="111">
        <v>39.5195</v>
      </c>
      <c r="C529" s="111">
        <f t="shared" si="9"/>
        <v>0.0395195</v>
      </c>
      <c r="D529" s="111">
        <v>23.8312</v>
      </c>
      <c r="E529" s="111">
        <v>24.9855</v>
      </c>
    </row>
    <row r="530" spans="1:5" ht="14.25">
      <c r="A530" s="134">
        <v>36622</v>
      </c>
      <c r="B530" s="111">
        <v>40.702</v>
      </c>
      <c r="C530" s="111">
        <f t="shared" si="9"/>
        <v>0.040702</v>
      </c>
      <c r="D530" s="111">
        <v>25.0261</v>
      </c>
      <c r="E530" s="111">
        <v>25.8721</v>
      </c>
    </row>
    <row r="531" spans="1:5" ht="14.25">
      <c r="A531" s="134">
        <v>36623</v>
      </c>
      <c r="B531" s="111">
        <v>41.7424</v>
      </c>
      <c r="C531" s="111">
        <f t="shared" si="9"/>
        <v>0.041742400000000006</v>
      </c>
      <c r="D531" s="111">
        <v>25.5498</v>
      </c>
      <c r="E531" s="111">
        <v>26.5452</v>
      </c>
    </row>
    <row r="532" spans="1:5" ht="14.25">
      <c r="A532" s="134">
        <v>36626</v>
      </c>
      <c r="B532" s="111">
        <v>42.0434</v>
      </c>
      <c r="C532" s="111">
        <f t="shared" si="9"/>
        <v>0.0420434</v>
      </c>
      <c r="D532" s="111">
        <v>25.5677</v>
      </c>
      <c r="E532" s="111">
        <v>26.7333</v>
      </c>
    </row>
    <row r="533" spans="1:5" ht="14.25">
      <c r="A533" s="134">
        <v>36627</v>
      </c>
      <c r="B533" s="111">
        <v>41.8786</v>
      </c>
      <c r="C533" s="111">
        <f t="shared" si="9"/>
        <v>0.0418786</v>
      </c>
      <c r="D533" s="111">
        <v>25.5302</v>
      </c>
      <c r="E533" s="111">
        <v>26.6217</v>
      </c>
    </row>
    <row r="534" spans="1:5" ht="14.25">
      <c r="A534" s="134">
        <v>36628</v>
      </c>
      <c r="B534" s="111">
        <v>42.4527</v>
      </c>
      <c r="C534" s="111">
        <f t="shared" si="9"/>
        <v>0.0424527</v>
      </c>
      <c r="D534" s="111">
        <v>25.9124</v>
      </c>
      <c r="E534" s="111">
        <v>27.009</v>
      </c>
    </row>
    <row r="535" spans="1:5" ht="14.25">
      <c r="A535" s="134">
        <v>36629</v>
      </c>
      <c r="B535" s="111">
        <v>42.2457</v>
      </c>
      <c r="C535" s="111">
        <f t="shared" si="9"/>
        <v>0.0422457</v>
      </c>
      <c r="D535" s="111">
        <v>25.6936</v>
      </c>
      <c r="E535" s="111">
        <v>26.8312</v>
      </c>
    </row>
    <row r="536" spans="1:5" ht="14.25">
      <c r="A536" s="134">
        <v>36630</v>
      </c>
      <c r="B536" s="111">
        <v>42.6543</v>
      </c>
      <c r="C536" s="111">
        <f t="shared" si="9"/>
        <v>0.0426543</v>
      </c>
      <c r="D536" s="111">
        <v>25.8479</v>
      </c>
      <c r="E536" s="111">
        <v>27.1028</v>
      </c>
    </row>
    <row r="537" spans="1:5" ht="14.25">
      <c r="A537" s="134">
        <v>36633</v>
      </c>
      <c r="B537" s="111">
        <v>41.8399</v>
      </c>
      <c r="C537" s="111">
        <f t="shared" si="9"/>
        <v>0.0418399</v>
      </c>
      <c r="D537" s="111">
        <v>25.364</v>
      </c>
      <c r="E537" s="111">
        <v>26.587</v>
      </c>
    </row>
    <row r="538" spans="1:5" ht="14.25">
      <c r="A538" s="134">
        <v>36634</v>
      </c>
      <c r="B538" s="111">
        <v>41.6257</v>
      </c>
      <c r="C538" s="111">
        <f t="shared" si="9"/>
        <v>0.0416257</v>
      </c>
      <c r="D538" s="111">
        <v>25.4037</v>
      </c>
      <c r="E538" s="111">
        <v>26.5368</v>
      </c>
    </row>
    <row r="539" spans="1:5" ht="14.25">
      <c r="A539" s="134">
        <v>36635</v>
      </c>
      <c r="B539" s="111">
        <v>39.7396</v>
      </c>
      <c r="C539" s="111">
        <f t="shared" si="9"/>
        <v>0.03973960000000001</v>
      </c>
      <c r="D539" s="111">
        <v>24.0234</v>
      </c>
      <c r="E539" s="111">
        <v>25.2957</v>
      </c>
    </row>
    <row r="540" spans="1:5" ht="14.25">
      <c r="A540" s="134">
        <v>36636</v>
      </c>
      <c r="B540" s="111">
        <v>35.5181</v>
      </c>
      <c r="C540" s="111">
        <f t="shared" si="9"/>
        <v>0.0355181</v>
      </c>
      <c r="D540" s="111">
        <v>21.3384</v>
      </c>
      <c r="E540" s="111">
        <v>22.5541</v>
      </c>
    </row>
    <row r="541" spans="1:5" ht="14.25">
      <c r="A541" s="134">
        <v>36637</v>
      </c>
      <c r="B541" s="111">
        <v>22.8639</v>
      </c>
      <c r="C541" s="111">
        <f t="shared" si="9"/>
        <v>0.022863900000000003</v>
      </c>
      <c r="D541" s="111">
        <v>13.6308</v>
      </c>
      <c r="E541" s="111">
        <v>14.538</v>
      </c>
    </row>
    <row r="542" spans="1:5" ht="14.25">
      <c r="A542" s="134">
        <v>36641</v>
      </c>
      <c r="B542" s="111">
        <v>31.5299</v>
      </c>
      <c r="C542" s="111">
        <f t="shared" si="9"/>
        <v>0.0315299</v>
      </c>
      <c r="D542" s="111">
        <v>18.7973</v>
      </c>
      <c r="E542" s="111">
        <v>20.0483</v>
      </c>
    </row>
    <row r="543" spans="1:5" ht="14.25">
      <c r="A543" s="134">
        <v>36642</v>
      </c>
      <c r="B543" s="111">
        <v>28.4291</v>
      </c>
      <c r="C543" s="111">
        <f t="shared" si="9"/>
        <v>0.0284291</v>
      </c>
      <c r="D543" s="111">
        <v>16.8309</v>
      </c>
      <c r="E543" s="111">
        <v>18.0939</v>
      </c>
    </row>
    <row r="544" spans="1:5" ht="14.25">
      <c r="A544" s="134">
        <v>36643</v>
      </c>
      <c r="B544" s="111">
        <v>28.0577</v>
      </c>
      <c r="C544" s="111">
        <f t="shared" si="9"/>
        <v>0.0280577</v>
      </c>
      <c r="D544" s="111">
        <v>16.407</v>
      </c>
      <c r="E544" s="111">
        <v>17.8473</v>
      </c>
    </row>
    <row r="545" spans="1:5" ht="14.25">
      <c r="A545" s="134">
        <v>36644</v>
      </c>
      <c r="B545" s="111">
        <v>26.4959</v>
      </c>
      <c r="C545" s="111">
        <f t="shared" si="9"/>
        <v>0.0264959</v>
      </c>
      <c r="D545" s="111">
        <v>15.4225</v>
      </c>
      <c r="E545" s="111">
        <v>16.8313</v>
      </c>
    </row>
    <row r="546" spans="1:5" ht="14.25">
      <c r="A546" s="134">
        <v>36648</v>
      </c>
      <c r="B546" s="111">
        <v>27.6321</v>
      </c>
      <c r="C546" s="111">
        <f t="shared" si="9"/>
        <v>0.027632100000000003</v>
      </c>
      <c r="D546" s="111">
        <v>15.9795</v>
      </c>
      <c r="E546" s="111">
        <v>17.5889</v>
      </c>
    </row>
    <row r="547" spans="1:5" ht="14.25">
      <c r="A547" s="134">
        <v>36649</v>
      </c>
      <c r="B547" s="111">
        <v>26.9815</v>
      </c>
      <c r="C547" s="111">
        <f t="shared" si="9"/>
        <v>0.026981500000000002</v>
      </c>
      <c r="D547" s="111">
        <v>15.7679</v>
      </c>
      <c r="E547" s="111">
        <v>17.297</v>
      </c>
    </row>
    <row r="548" spans="1:5" ht="14.25">
      <c r="A548" s="134">
        <v>36650</v>
      </c>
      <c r="B548" s="111">
        <v>26.8014</v>
      </c>
      <c r="C548" s="111">
        <f t="shared" si="9"/>
        <v>0.026801400000000003</v>
      </c>
      <c r="D548" s="111">
        <v>15.5007</v>
      </c>
      <c r="E548" s="111">
        <v>17.3911</v>
      </c>
    </row>
    <row r="549" spans="1:5" ht="14.25">
      <c r="A549" s="134">
        <v>36651</v>
      </c>
      <c r="B549" s="111">
        <v>25.638</v>
      </c>
      <c r="C549" s="111">
        <f t="shared" si="9"/>
        <v>0.025638</v>
      </c>
      <c r="D549" s="111">
        <v>14.8257</v>
      </c>
      <c r="E549" s="111">
        <v>16.5706</v>
      </c>
    </row>
    <row r="550" spans="1:5" ht="14.25">
      <c r="A550" s="134">
        <v>36654</v>
      </c>
      <c r="B550" s="111">
        <v>25.6527</v>
      </c>
      <c r="C550" s="111">
        <f t="shared" si="9"/>
        <v>0.0256527</v>
      </c>
      <c r="D550" s="111">
        <v>14.9004</v>
      </c>
      <c r="E550" s="111">
        <v>16.5855</v>
      </c>
    </row>
    <row r="551" spans="1:5" ht="14.25">
      <c r="A551" s="134">
        <v>36655</v>
      </c>
      <c r="B551" s="111">
        <v>29.0009</v>
      </c>
      <c r="C551" s="111">
        <f t="shared" si="9"/>
        <v>0.029000900000000003</v>
      </c>
      <c r="D551" s="111">
        <v>16.7559</v>
      </c>
      <c r="E551" s="111">
        <v>18.7175</v>
      </c>
    </row>
    <row r="552" spans="1:5" ht="14.25">
      <c r="A552" s="134">
        <v>36656</v>
      </c>
      <c r="B552" s="111">
        <v>30.7665</v>
      </c>
      <c r="C552" s="111">
        <f t="shared" si="9"/>
        <v>0.030766500000000002</v>
      </c>
      <c r="D552" s="111">
        <v>17.8426</v>
      </c>
      <c r="E552" s="111">
        <v>19.8737</v>
      </c>
    </row>
    <row r="553" spans="1:5" ht="14.25">
      <c r="A553" s="134">
        <v>36657</v>
      </c>
      <c r="B553" s="111">
        <v>30.6024</v>
      </c>
      <c r="C553" s="111">
        <f t="shared" si="9"/>
        <v>0.0306024</v>
      </c>
      <c r="D553" s="111">
        <v>17.8605</v>
      </c>
      <c r="E553" s="111">
        <v>19.6119</v>
      </c>
    </row>
    <row r="554" spans="1:5" ht="14.25">
      <c r="A554" s="134">
        <v>36658</v>
      </c>
      <c r="B554" s="111">
        <v>29.8234</v>
      </c>
      <c r="C554" s="111">
        <f t="shared" si="9"/>
        <v>0.0298234</v>
      </c>
      <c r="D554" s="111">
        <v>17.4026</v>
      </c>
      <c r="E554" s="111">
        <v>19.1679</v>
      </c>
    </row>
    <row r="555" spans="1:5" ht="14.25">
      <c r="A555" s="134">
        <v>36661</v>
      </c>
      <c r="B555" s="111">
        <v>28.1769</v>
      </c>
      <c r="C555" s="111">
        <f t="shared" si="9"/>
        <v>0.0281769</v>
      </c>
      <c r="D555" s="111">
        <v>16.3839</v>
      </c>
      <c r="E555" s="111">
        <v>18.1459</v>
      </c>
    </row>
    <row r="556" spans="1:5" ht="14.25">
      <c r="A556" s="134">
        <v>36662</v>
      </c>
      <c r="B556" s="111">
        <v>30.9043</v>
      </c>
      <c r="C556" s="111">
        <f t="shared" si="9"/>
        <v>0.0309043</v>
      </c>
      <c r="D556" s="111">
        <v>18.1742</v>
      </c>
      <c r="E556" s="111">
        <v>19.869</v>
      </c>
    </row>
    <row r="557" spans="1:5" ht="14.25">
      <c r="A557" s="134">
        <v>36663</v>
      </c>
      <c r="B557" s="111">
        <v>31.4664</v>
      </c>
      <c r="C557" s="111">
        <f t="shared" si="9"/>
        <v>0.0314664</v>
      </c>
      <c r="D557" s="111">
        <v>18.3731</v>
      </c>
      <c r="E557" s="111">
        <v>20.2682</v>
      </c>
    </row>
    <row r="558" spans="1:5" ht="14.25">
      <c r="A558" s="134">
        <v>36664</v>
      </c>
      <c r="B558" s="111">
        <v>30.6043</v>
      </c>
      <c r="C558" s="111">
        <f t="shared" si="9"/>
        <v>0.030604299999999997</v>
      </c>
      <c r="D558" s="111">
        <v>17.6299</v>
      </c>
      <c r="E558" s="111">
        <v>19.76</v>
      </c>
    </row>
    <row r="559" spans="1:5" ht="14.25">
      <c r="A559" s="134">
        <v>36665</v>
      </c>
      <c r="B559" s="111">
        <v>29.8084</v>
      </c>
      <c r="C559" s="111">
        <f t="shared" si="9"/>
        <v>0.0298084</v>
      </c>
      <c r="D559" s="111">
        <v>17.1589</v>
      </c>
      <c r="E559" s="111">
        <v>19.1891</v>
      </c>
    </row>
    <row r="560" spans="1:5" ht="14.25">
      <c r="A560" s="134">
        <v>36668</v>
      </c>
      <c r="B560" s="111">
        <v>26.8073</v>
      </c>
      <c r="C560" s="111">
        <f t="shared" si="9"/>
        <v>0.026807300000000003</v>
      </c>
      <c r="D560" s="111">
        <v>15.3375</v>
      </c>
      <c r="E560" s="111">
        <v>17.2817</v>
      </c>
    </row>
    <row r="561" spans="1:5" ht="14.25">
      <c r="A561" s="134">
        <v>36669</v>
      </c>
      <c r="B561" s="111">
        <v>28.6643</v>
      </c>
      <c r="C561" s="111">
        <f t="shared" si="9"/>
        <v>0.0286643</v>
      </c>
      <c r="D561" s="111">
        <v>16.6148</v>
      </c>
      <c r="E561" s="111">
        <v>18.4609</v>
      </c>
    </row>
    <row r="562" spans="1:5" ht="14.25">
      <c r="A562" s="134">
        <v>36670</v>
      </c>
      <c r="B562" s="111">
        <v>30.5841</v>
      </c>
      <c r="C562" s="111">
        <f t="shared" si="9"/>
        <v>0.0305841</v>
      </c>
      <c r="D562" s="111">
        <v>17.8257</v>
      </c>
      <c r="E562" s="111">
        <v>19.5651</v>
      </c>
    </row>
    <row r="563" spans="1:5" ht="14.25">
      <c r="A563" s="134">
        <v>36671</v>
      </c>
      <c r="B563" s="111">
        <v>29.5388</v>
      </c>
      <c r="C563" s="111">
        <f t="shared" si="9"/>
        <v>0.0295388</v>
      </c>
      <c r="D563" s="111">
        <v>17.182</v>
      </c>
      <c r="E563" s="111">
        <v>18.8855</v>
      </c>
    </row>
    <row r="564" spans="1:5" ht="14.25">
      <c r="A564" s="134">
        <v>36672</v>
      </c>
      <c r="B564" s="111">
        <v>27.8886</v>
      </c>
      <c r="C564" s="111">
        <f t="shared" si="9"/>
        <v>0.0278886</v>
      </c>
      <c r="D564" s="111">
        <v>16.0814</v>
      </c>
      <c r="E564" s="111">
        <v>17.906</v>
      </c>
    </row>
    <row r="565" spans="1:5" ht="14.25">
      <c r="A565" s="134">
        <v>36675</v>
      </c>
      <c r="B565" s="111">
        <v>30.4975</v>
      </c>
      <c r="C565" s="111">
        <f t="shared" si="9"/>
        <v>0.0304975</v>
      </c>
      <c r="D565" s="111">
        <v>17.8263</v>
      </c>
      <c r="E565" s="111">
        <v>19.4972</v>
      </c>
    </row>
    <row r="566" spans="1:5" ht="14.25">
      <c r="A566" s="134">
        <v>36676</v>
      </c>
      <c r="B566" s="111">
        <v>30.5371</v>
      </c>
      <c r="C566" s="111">
        <f t="shared" si="9"/>
        <v>0.0305371</v>
      </c>
      <c r="D566" s="111">
        <v>18.0414</v>
      </c>
      <c r="E566" s="111">
        <v>19.4789</v>
      </c>
    </row>
    <row r="567" spans="1:5" ht="14.25">
      <c r="A567" s="134">
        <v>36677</v>
      </c>
      <c r="B567" s="111">
        <v>30.0392</v>
      </c>
      <c r="C567" s="111">
        <f t="shared" si="9"/>
        <v>0.030039200000000002</v>
      </c>
      <c r="D567" s="111">
        <v>17.8863</v>
      </c>
      <c r="E567" s="111">
        <v>19.1113</v>
      </c>
    </row>
    <row r="568" spans="1:5" ht="14.25">
      <c r="A568" s="134">
        <v>36679</v>
      </c>
      <c r="B568" s="111">
        <v>24.414</v>
      </c>
      <c r="C568" s="111">
        <f t="shared" si="9"/>
        <v>0.024414</v>
      </c>
      <c r="D568" s="111">
        <v>14.4716</v>
      </c>
      <c r="E568" s="111">
        <v>15.5108</v>
      </c>
    </row>
    <row r="569" spans="1:5" ht="14.25">
      <c r="A569" s="134">
        <v>36682</v>
      </c>
      <c r="B569" s="111">
        <v>30.9441</v>
      </c>
      <c r="C569" s="111">
        <f t="shared" si="9"/>
        <v>0.0309441</v>
      </c>
      <c r="D569" s="111">
        <v>18.4043</v>
      </c>
      <c r="E569" s="111">
        <v>19.6733</v>
      </c>
    </row>
    <row r="570" spans="1:5" ht="14.25">
      <c r="A570" s="134">
        <v>36683</v>
      </c>
      <c r="B570" s="111">
        <v>31.4108</v>
      </c>
      <c r="C570" s="111">
        <f t="shared" si="9"/>
        <v>0.031410799999999996</v>
      </c>
      <c r="D570" s="111">
        <v>18.8317</v>
      </c>
      <c r="E570" s="111">
        <v>19.9637</v>
      </c>
    </row>
    <row r="571" spans="1:5" ht="14.25">
      <c r="A571" s="134">
        <v>36684</v>
      </c>
      <c r="B571" s="111">
        <v>32.6255</v>
      </c>
      <c r="C571" s="111">
        <f t="shared" si="9"/>
        <v>0.0326255</v>
      </c>
      <c r="D571" s="111">
        <v>19.6603</v>
      </c>
      <c r="E571" s="111">
        <v>20.7278</v>
      </c>
    </row>
    <row r="572" spans="1:5" ht="14.25">
      <c r="A572" s="134">
        <v>36685</v>
      </c>
      <c r="B572" s="111">
        <v>31.4745</v>
      </c>
      <c r="C572" s="111">
        <f t="shared" si="9"/>
        <v>0.0314745</v>
      </c>
      <c r="D572" s="111">
        <v>19.1827</v>
      </c>
      <c r="E572" s="111">
        <v>20.0782</v>
      </c>
    </row>
    <row r="573" spans="1:5" ht="14.25">
      <c r="A573" s="134">
        <v>36686</v>
      </c>
      <c r="B573" s="111">
        <v>30.4078</v>
      </c>
      <c r="C573" s="111">
        <f t="shared" si="9"/>
        <v>0.030407800000000002</v>
      </c>
      <c r="D573" s="111">
        <v>18.7681</v>
      </c>
      <c r="E573" s="111">
        <v>19.4126</v>
      </c>
    </row>
    <row r="574" spans="1:5" ht="14.25">
      <c r="A574" s="134">
        <v>36690</v>
      </c>
      <c r="B574" s="111">
        <v>31.3488</v>
      </c>
      <c r="C574" s="111">
        <f t="shared" si="9"/>
        <v>0.0313488</v>
      </c>
      <c r="D574" s="111">
        <v>18.9962</v>
      </c>
      <c r="E574" s="111">
        <v>20.0171</v>
      </c>
    </row>
    <row r="575" spans="1:5" ht="14.25">
      <c r="A575" s="134">
        <v>36691</v>
      </c>
      <c r="B575" s="111">
        <v>30.2282</v>
      </c>
      <c r="C575" s="111">
        <f t="shared" si="9"/>
        <v>0.0302282</v>
      </c>
      <c r="D575" s="111">
        <v>18.5358</v>
      </c>
      <c r="E575" s="111">
        <v>19.3423</v>
      </c>
    </row>
    <row r="576" spans="1:5" ht="14.25">
      <c r="A576" s="134">
        <v>36692</v>
      </c>
      <c r="B576" s="111">
        <v>33.7376</v>
      </c>
      <c r="C576" s="111">
        <f t="shared" si="9"/>
        <v>0.0337376</v>
      </c>
      <c r="D576" s="111">
        <v>20.7715</v>
      </c>
      <c r="E576" s="111">
        <v>21.5562</v>
      </c>
    </row>
    <row r="577" spans="1:5" ht="14.25">
      <c r="A577" s="134">
        <v>36693</v>
      </c>
      <c r="B577" s="111">
        <v>34.3826</v>
      </c>
      <c r="C577" s="111">
        <f t="shared" si="9"/>
        <v>0.0343826</v>
      </c>
      <c r="D577" s="111">
        <v>20.9266</v>
      </c>
      <c r="E577" s="111">
        <v>21.9725</v>
      </c>
    </row>
    <row r="578" spans="1:5" ht="14.25">
      <c r="A578" s="134">
        <v>36696</v>
      </c>
      <c r="B578" s="111">
        <v>32.6437</v>
      </c>
      <c r="C578" s="111">
        <f t="shared" si="9"/>
        <v>0.032643700000000005</v>
      </c>
      <c r="D578" s="111">
        <v>20.0011</v>
      </c>
      <c r="E578" s="111">
        <v>20.9107</v>
      </c>
    </row>
    <row r="579" spans="1:5" ht="14.25">
      <c r="A579" s="134">
        <v>36697</v>
      </c>
      <c r="B579" s="111">
        <v>35.6116</v>
      </c>
      <c r="C579" s="111">
        <f aca="true" t="shared" si="10" ref="C579:C642">B579*10^-3</f>
        <v>0.0356116</v>
      </c>
      <c r="D579" s="111">
        <v>21.9808</v>
      </c>
      <c r="E579" s="111">
        <v>22.8017</v>
      </c>
    </row>
    <row r="580" spans="1:5" ht="14.25">
      <c r="A580" s="134">
        <v>36698</v>
      </c>
      <c r="B580" s="111">
        <v>37.041</v>
      </c>
      <c r="C580" s="111">
        <f t="shared" si="10"/>
        <v>0.037041</v>
      </c>
      <c r="D580" s="111">
        <v>22.6807</v>
      </c>
      <c r="E580" s="111">
        <v>23.7793</v>
      </c>
    </row>
    <row r="581" spans="1:5" ht="14.25">
      <c r="A581" s="134">
        <v>36700</v>
      </c>
      <c r="B581" s="111">
        <v>34.1408</v>
      </c>
      <c r="C581" s="111">
        <f t="shared" si="10"/>
        <v>0.0341408</v>
      </c>
      <c r="D581" s="111">
        <v>20.7814</v>
      </c>
      <c r="E581" s="111">
        <v>22.0962</v>
      </c>
    </row>
    <row r="582" spans="1:5" ht="14.25">
      <c r="A582" s="134">
        <v>36703</v>
      </c>
      <c r="B582" s="111">
        <v>37.7901</v>
      </c>
      <c r="C582" s="111">
        <f t="shared" si="10"/>
        <v>0.0377901</v>
      </c>
      <c r="D582" s="111">
        <v>22.9185</v>
      </c>
      <c r="E582" s="111">
        <v>24.3477</v>
      </c>
    </row>
    <row r="583" spans="1:5" ht="14.25">
      <c r="A583" s="134">
        <v>36704</v>
      </c>
      <c r="B583" s="111">
        <v>34.6511</v>
      </c>
      <c r="C583" s="111">
        <f t="shared" si="10"/>
        <v>0.0346511</v>
      </c>
      <c r="D583" s="111">
        <v>20.8807</v>
      </c>
      <c r="E583" s="111">
        <v>22.3873</v>
      </c>
    </row>
    <row r="584" spans="1:5" ht="14.25">
      <c r="A584" s="134">
        <v>36705</v>
      </c>
      <c r="B584" s="111">
        <v>35.5099</v>
      </c>
      <c r="C584" s="111">
        <f t="shared" si="10"/>
        <v>0.035509900000000004</v>
      </c>
      <c r="D584" s="111">
        <v>21.5568</v>
      </c>
      <c r="E584" s="111">
        <v>22.9303</v>
      </c>
    </row>
    <row r="585" spans="1:5" ht="14.25">
      <c r="A585" s="134">
        <v>36706</v>
      </c>
      <c r="B585" s="111">
        <v>36.8512</v>
      </c>
      <c r="C585" s="111">
        <f t="shared" si="10"/>
        <v>0.0368512</v>
      </c>
      <c r="D585" s="111">
        <v>22.4145</v>
      </c>
      <c r="E585" s="111">
        <v>23.8072</v>
      </c>
    </row>
    <row r="586" spans="1:5" ht="14.25">
      <c r="A586" s="134">
        <v>36707</v>
      </c>
      <c r="B586" s="111">
        <v>35.3298</v>
      </c>
      <c r="C586" s="111">
        <f t="shared" si="10"/>
        <v>0.0353298</v>
      </c>
      <c r="D586" s="111">
        <v>21.5821</v>
      </c>
      <c r="E586" s="111">
        <v>22.7085</v>
      </c>
    </row>
    <row r="587" spans="1:5" ht="14.25">
      <c r="A587" s="134">
        <v>36710</v>
      </c>
      <c r="B587" s="111">
        <v>35.2127</v>
      </c>
      <c r="C587" s="111">
        <f t="shared" si="10"/>
        <v>0.0352127</v>
      </c>
      <c r="D587" s="111">
        <v>21.6033</v>
      </c>
      <c r="E587" s="111">
        <v>22.607</v>
      </c>
    </row>
    <row r="588" spans="1:5" ht="14.25">
      <c r="A588" s="134">
        <v>36711</v>
      </c>
      <c r="B588" s="111">
        <v>35.7436</v>
      </c>
      <c r="C588" s="111">
        <f t="shared" si="10"/>
        <v>0.0357436</v>
      </c>
      <c r="D588" s="111">
        <v>21.8194</v>
      </c>
      <c r="E588" s="111">
        <v>22.9848</v>
      </c>
    </row>
    <row r="589" spans="1:5" ht="14.25">
      <c r="A589" s="134">
        <v>36712</v>
      </c>
      <c r="B589" s="111">
        <v>35.7582</v>
      </c>
      <c r="C589" s="111">
        <f t="shared" si="10"/>
        <v>0.035758200000000004</v>
      </c>
      <c r="D589" s="111">
        <v>21.8284</v>
      </c>
      <c r="E589" s="111">
        <v>22.9942</v>
      </c>
    </row>
    <row r="590" spans="1:5" ht="14.25">
      <c r="A590" s="134">
        <v>36713</v>
      </c>
      <c r="B590" s="111">
        <v>37.3371</v>
      </c>
      <c r="C590" s="111">
        <f t="shared" si="10"/>
        <v>0.0373371</v>
      </c>
      <c r="D590" s="111">
        <v>22.9258</v>
      </c>
      <c r="E590" s="111">
        <v>24.0388</v>
      </c>
    </row>
    <row r="591" spans="1:5" ht="14.25">
      <c r="A591" s="134">
        <v>36714</v>
      </c>
      <c r="B591" s="111">
        <v>38.4153</v>
      </c>
      <c r="C591" s="111">
        <f t="shared" si="10"/>
        <v>0.0384153</v>
      </c>
      <c r="D591" s="111">
        <v>23.6734</v>
      </c>
      <c r="E591" s="111">
        <v>24.8097</v>
      </c>
    </row>
    <row r="592" spans="1:5" ht="14.25">
      <c r="A592" s="134">
        <v>36717</v>
      </c>
      <c r="B592" s="111">
        <v>38.2565</v>
      </c>
      <c r="C592" s="111">
        <f t="shared" si="10"/>
        <v>0.038256500000000006</v>
      </c>
      <c r="D592" s="111">
        <v>23.4691</v>
      </c>
      <c r="E592" s="111">
        <v>24.7487</v>
      </c>
    </row>
    <row r="593" spans="1:5" ht="14.25">
      <c r="A593" s="134">
        <v>36718</v>
      </c>
      <c r="B593" s="111">
        <v>37.377</v>
      </c>
      <c r="C593" s="111">
        <f t="shared" si="10"/>
        <v>0.037377</v>
      </c>
      <c r="D593" s="111">
        <v>23.0219</v>
      </c>
      <c r="E593" s="111">
        <v>24.175</v>
      </c>
    </row>
    <row r="594" spans="1:5" ht="14.25">
      <c r="A594" s="134">
        <v>36719</v>
      </c>
      <c r="B594" s="111">
        <v>39.1343</v>
      </c>
      <c r="C594" s="111">
        <f t="shared" si="10"/>
        <v>0.039134300000000004</v>
      </c>
      <c r="D594" s="111">
        <v>24.0289</v>
      </c>
      <c r="E594" s="111">
        <v>25.2219</v>
      </c>
    </row>
    <row r="595" spans="1:5" ht="14.25">
      <c r="A595" s="134">
        <v>36720</v>
      </c>
      <c r="B595" s="111">
        <v>38.5931</v>
      </c>
      <c r="C595" s="111">
        <f t="shared" si="10"/>
        <v>0.0385931</v>
      </c>
      <c r="D595" s="111">
        <v>23.6163</v>
      </c>
      <c r="E595" s="111">
        <v>24.8619</v>
      </c>
    </row>
    <row r="596" spans="1:5" ht="14.25">
      <c r="A596" s="134">
        <v>36721</v>
      </c>
      <c r="B596" s="111">
        <v>34.4811</v>
      </c>
      <c r="C596" s="111">
        <f t="shared" si="10"/>
        <v>0.0344811</v>
      </c>
      <c r="D596" s="111">
        <v>20.7548</v>
      </c>
      <c r="E596" s="111">
        <v>22.2</v>
      </c>
    </row>
    <row r="597" spans="1:5" ht="14.25">
      <c r="A597" s="134">
        <v>36724</v>
      </c>
      <c r="B597" s="111">
        <v>33.3672</v>
      </c>
      <c r="C597" s="111">
        <f t="shared" si="10"/>
        <v>0.0333672</v>
      </c>
      <c r="D597" s="111">
        <v>20.1462</v>
      </c>
      <c r="E597" s="111">
        <v>21.5606</v>
      </c>
    </row>
    <row r="598" spans="1:5" ht="14.25">
      <c r="A598" s="134">
        <v>36725</v>
      </c>
      <c r="B598" s="111">
        <v>33.7426</v>
      </c>
      <c r="C598" s="111">
        <f t="shared" si="10"/>
        <v>0.033742600000000005</v>
      </c>
      <c r="D598" s="111">
        <v>20.4048</v>
      </c>
      <c r="E598" s="111">
        <v>21.8187</v>
      </c>
    </row>
    <row r="599" spans="1:5" ht="14.25">
      <c r="A599" s="134">
        <v>36726</v>
      </c>
      <c r="B599" s="111">
        <v>31.8488</v>
      </c>
      <c r="C599" s="111">
        <f t="shared" si="10"/>
        <v>0.031848800000000003</v>
      </c>
      <c r="D599" s="111">
        <v>19.2157</v>
      </c>
      <c r="E599" s="111">
        <v>20.545</v>
      </c>
    </row>
    <row r="600" spans="1:5" ht="14.25">
      <c r="A600" s="134">
        <v>36727</v>
      </c>
      <c r="B600" s="111">
        <v>32.8163</v>
      </c>
      <c r="C600" s="111">
        <f t="shared" si="10"/>
        <v>0.0328163</v>
      </c>
      <c r="D600" s="111">
        <v>19.546</v>
      </c>
      <c r="E600" s="111">
        <v>21.2088</v>
      </c>
    </row>
    <row r="601" spans="1:5" ht="14.25">
      <c r="A601" s="134">
        <v>36728</v>
      </c>
      <c r="B601" s="111">
        <v>34.5429</v>
      </c>
      <c r="C601" s="111">
        <f t="shared" si="10"/>
        <v>0.0345429</v>
      </c>
      <c r="D601" s="111">
        <v>20.5634</v>
      </c>
      <c r="E601" s="111">
        <v>22.303</v>
      </c>
    </row>
    <row r="602" spans="1:5" ht="14.25">
      <c r="A602" s="134">
        <v>36731</v>
      </c>
      <c r="B602" s="111">
        <v>34.0684</v>
      </c>
      <c r="C602" s="111">
        <f t="shared" si="10"/>
        <v>0.0340684</v>
      </c>
      <c r="D602" s="111">
        <v>20.5649</v>
      </c>
      <c r="E602" s="111">
        <v>21.964</v>
      </c>
    </row>
    <row r="603" spans="1:5" ht="14.25">
      <c r="A603" s="134">
        <v>36732</v>
      </c>
      <c r="B603" s="111">
        <v>34.0848</v>
      </c>
      <c r="C603" s="111">
        <f t="shared" si="10"/>
        <v>0.034084800000000005</v>
      </c>
      <c r="D603" s="111">
        <v>20.4487</v>
      </c>
      <c r="E603" s="111">
        <v>21.9124</v>
      </c>
    </row>
    <row r="604" spans="1:5" ht="14.25">
      <c r="A604" s="134">
        <v>36733</v>
      </c>
      <c r="B604" s="111">
        <v>35.0468</v>
      </c>
      <c r="C604" s="111">
        <f t="shared" si="10"/>
        <v>0.035046799999999996</v>
      </c>
      <c r="D604" s="111">
        <v>21.2248</v>
      </c>
      <c r="E604" s="111">
        <v>22.5555</v>
      </c>
    </row>
    <row r="605" spans="1:5" ht="14.25">
      <c r="A605" s="134">
        <v>36734</v>
      </c>
      <c r="B605" s="111">
        <v>34.3228</v>
      </c>
      <c r="C605" s="111">
        <f t="shared" si="10"/>
        <v>0.0343228</v>
      </c>
      <c r="D605" s="111">
        <v>20.7675</v>
      </c>
      <c r="E605" s="111">
        <v>22.1166</v>
      </c>
    </row>
    <row r="606" spans="1:5" ht="14.25">
      <c r="A606" s="134">
        <v>36735</v>
      </c>
      <c r="B606" s="111">
        <v>33.5699</v>
      </c>
      <c r="C606" s="111">
        <f t="shared" si="10"/>
        <v>0.0335699</v>
      </c>
      <c r="D606" s="111">
        <v>20.2941</v>
      </c>
      <c r="E606" s="111">
        <v>21.6148</v>
      </c>
    </row>
    <row r="607" spans="1:5" ht="14.25">
      <c r="A607" s="134">
        <v>36738</v>
      </c>
      <c r="B607" s="111">
        <v>33.7491</v>
      </c>
      <c r="C607" s="111">
        <f t="shared" si="10"/>
        <v>0.0337491</v>
      </c>
      <c r="D607" s="111">
        <v>20.2155</v>
      </c>
      <c r="E607" s="111">
        <v>21.7933</v>
      </c>
    </row>
    <row r="608" spans="1:5" ht="14.25">
      <c r="A608" s="134">
        <v>36740</v>
      </c>
      <c r="B608" s="111">
        <v>32.7768</v>
      </c>
      <c r="C608" s="111">
        <f t="shared" si="10"/>
        <v>0.0327768</v>
      </c>
      <c r="D608" s="111">
        <v>19.6406</v>
      </c>
      <c r="E608" s="111">
        <v>21.201</v>
      </c>
    </row>
    <row r="609" spans="1:5" ht="14.25">
      <c r="A609" s="134">
        <v>36741</v>
      </c>
      <c r="B609" s="111">
        <v>32.6699</v>
      </c>
      <c r="C609" s="111">
        <f t="shared" si="10"/>
        <v>0.0326699</v>
      </c>
      <c r="D609" s="111">
        <v>19.3325</v>
      </c>
      <c r="E609" s="111">
        <v>21.1469</v>
      </c>
    </row>
    <row r="610" spans="1:5" ht="14.25">
      <c r="A610" s="134">
        <v>36742</v>
      </c>
      <c r="B610" s="111">
        <v>32.8305</v>
      </c>
      <c r="C610" s="111">
        <f t="shared" si="10"/>
        <v>0.0328305</v>
      </c>
      <c r="D610" s="111">
        <v>19.2151</v>
      </c>
      <c r="E610" s="111">
        <v>21.2839</v>
      </c>
    </row>
    <row r="611" spans="1:5" ht="14.25">
      <c r="A611" s="134">
        <v>36745</v>
      </c>
      <c r="B611" s="111">
        <v>33.0281</v>
      </c>
      <c r="C611" s="111">
        <f t="shared" si="10"/>
        <v>0.033028100000000005</v>
      </c>
      <c r="D611" s="111">
        <v>19.2885</v>
      </c>
      <c r="E611" s="111">
        <v>21.3581</v>
      </c>
    </row>
    <row r="612" spans="1:5" ht="14.25">
      <c r="A612" s="134">
        <v>36746</v>
      </c>
      <c r="B612" s="111">
        <v>31.3294</v>
      </c>
      <c r="C612" s="111">
        <f t="shared" si="10"/>
        <v>0.0313294</v>
      </c>
      <c r="D612" s="111">
        <v>18.3919</v>
      </c>
      <c r="E612" s="111">
        <v>20.2465</v>
      </c>
    </row>
    <row r="613" spans="1:5" ht="14.25">
      <c r="A613" s="134">
        <v>36747</v>
      </c>
      <c r="B613" s="111">
        <v>30.6912</v>
      </c>
      <c r="C613" s="111">
        <f t="shared" si="10"/>
        <v>0.0306912</v>
      </c>
      <c r="D613" s="111">
        <v>17.9834</v>
      </c>
      <c r="E613" s="111">
        <v>19.8777</v>
      </c>
    </row>
    <row r="614" spans="1:5" ht="14.25">
      <c r="A614" s="134">
        <v>36748</v>
      </c>
      <c r="B614" s="111">
        <v>30.4415</v>
      </c>
      <c r="C614" s="111">
        <f t="shared" si="10"/>
        <v>0.030441500000000003</v>
      </c>
      <c r="D614" s="111">
        <v>17.6877</v>
      </c>
      <c r="E614" s="111">
        <v>19.7122</v>
      </c>
    </row>
    <row r="615" spans="1:5" ht="14.25">
      <c r="A615" s="134">
        <v>36749</v>
      </c>
      <c r="B615" s="111">
        <v>30.1342</v>
      </c>
      <c r="C615" s="111">
        <f t="shared" si="10"/>
        <v>0.0301342</v>
      </c>
      <c r="D615" s="111">
        <v>17.6155</v>
      </c>
      <c r="E615" s="111">
        <v>19.5056</v>
      </c>
    </row>
    <row r="616" spans="1:5" ht="14.25">
      <c r="A616" s="134">
        <v>36752</v>
      </c>
      <c r="B616" s="111">
        <v>31.5079</v>
      </c>
      <c r="C616" s="111">
        <f t="shared" si="10"/>
        <v>0.0315079</v>
      </c>
      <c r="D616" s="111">
        <v>18.5262</v>
      </c>
      <c r="E616" s="111">
        <v>20.2871</v>
      </c>
    </row>
    <row r="617" spans="1:5" ht="14.25">
      <c r="A617" s="134">
        <v>36753</v>
      </c>
      <c r="B617" s="111">
        <v>29.3211</v>
      </c>
      <c r="C617" s="111">
        <f t="shared" si="10"/>
        <v>0.029321100000000003</v>
      </c>
      <c r="D617" s="111">
        <v>17.001</v>
      </c>
      <c r="E617" s="111">
        <v>18.8669</v>
      </c>
    </row>
    <row r="618" spans="1:5" ht="14.25">
      <c r="A618" s="134">
        <v>36754</v>
      </c>
      <c r="B618" s="111">
        <v>32.15</v>
      </c>
      <c r="C618" s="111">
        <f t="shared" si="10"/>
        <v>0.03215</v>
      </c>
      <c r="D618" s="111">
        <v>18.8021</v>
      </c>
      <c r="E618" s="111">
        <v>20.6209</v>
      </c>
    </row>
    <row r="619" spans="1:5" ht="14.25">
      <c r="A619" s="134">
        <v>36755</v>
      </c>
      <c r="B619" s="111">
        <v>32.6636</v>
      </c>
      <c r="C619" s="111">
        <f t="shared" si="10"/>
        <v>0.0326636</v>
      </c>
      <c r="D619" s="111">
        <v>19.0073</v>
      </c>
      <c r="E619" s="111">
        <v>20.9517</v>
      </c>
    </row>
    <row r="620" spans="1:5" ht="14.25">
      <c r="A620" s="134">
        <v>36756</v>
      </c>
      <c r="B620" s="111">
        <v>33.9533</v>
      </c>
      <c r="C620" s="111">
        <f t="shared" si="10"/>
        <v>0.0339533</v>
      </c>
      <c r="D620" s="111">
        <v>19.8563</v>
      </c>
      <c r="E620" s="111">
        <v>21.7246</v>
      </c>
    </row>
    <row r="621" spans="1:5" ht="14.25">
      <c r="A621" s="134">
        <v>36759</v>
      </c>
      <c r="B621" s="111">
        <v>36.4186</v>
      </c>
      <c r="C621" s="111">
        <f t="shared" si="10"/>
        <v>0.036418599999999995</v>
      </c>
      <c r="D621" s="111">
        <v>21.2772</v>
      </c>
      <c r="E621" s="111">
        <v>23.3124</v>
      </c>
    </row>
    <row r="622" spans="1:5" ht="14.25">
      <c r="A622" s="134">
        <v>36760</v>
      </c>
      <c r="B622" s="111">
        <v>38.8666</v>
      </c>
      <c r="C622" s="111">
        <f t="shared" si="10"/>
        <v>0.0388666</v>
      </c>
      <c r="D622" s="111">
        <v>22.4832</v>
      </c>
      <c r="E622" s="111">
        <v>24.9177</v>
      </c>
    </row>
    <row r="623" spans="1:5" ht="14.25">
      <c r="A623" s="134">
        <v>36761</v>
      </c>
      <c r="B623" s="111">
        <v>41.1904</v>
      </c>
      <c r="C623" s="111">
        <f t="shared" si="10"/>
        <v>0.041190399999999995</v>
      </c>
      <c r="D623" s="111">
        <v>22.4832</v>
      </c>
      <c r="E623" s="111">
        <v>26.3906</v>
      </c>
    </row>
    <row r="624" spans="1:5" ht="14.25">
      <c r="A624" s="134">
        <v>36762</v>
      </c>
      <c r="B624" s="111">
        <v>40.3322</v>
      </c>
      <c r="C624" s="111">
        <f t="shared" si="10"/>
        <v>0.0403322</v>
      </c>
      <c r="D624" s="111">
        <v>23.168</v>
      </c>
      <c r="E624" s="111">
        <v>25.9789</v>
      </c>
    </row>
    <row r="625" spans="1:5" ht="14.25">
      <c r="A625" s="134">
        <v>36763</v>
      </c>
      <c r="B625" s="111">
        <v>39.031</v>
      </c>
      <c r="C625" s="111">
        <f t="shared" si="10"/>
        <v>0.039030999999999996</v>
      </c>
      <c r="D625" s="111">
        <v>22.7095</v>
      </c>
      <c r="E625" s="111">
        <v>25.1992</v>
      </c>
    </row>
    <row r="626" spans="1:5" ht="14.25">
      <c r="A626" s="134">
        <v>36766</v>
      </c>
      <c r="B626" s="111">
        <v>41.4587</v>
      </c>
      <c r="C626" s="111">
        <f t="shared" si="10"/>
        <v>0.0414587</v>
      </c>
      <c r="D626" s="111">
        <v>24.2024</v>
      </c>
      <c r="E626" s="111">
        <v>26.8289</v>
      </c>
    </row>
    <row r="627" spans="1:5" ht="14.25">
      <c r="A627" s="134">
        <v>36767</v>
      </c>
      <c r="B627" s="111">
        <v>42.3735</v>
      </c>
      <c r="C627" s="111">
        <f t="shared" si="10"/>
        <v>0.0423735</v>
      </c>
      <c r="D627" s="111">
        <v>24.7236</v>
      </c>
      <c r="E627" s="111">
        <v>27.4493</v>
      </c>
    </row>
    <row r="628" spans="1:5" ht="14.25">
      <c r="A628" s="134">
        <v>36768</v>
      </c>
      <c r="B628" s="111">
        <v>44.0736</v>
      </c>
      <c r="C628" s="111">
        <f t="shared" si="10"/>
        <v>0.0440736</v>
      </c>
      <c r="D628" s="111">
        <v>25.5791</v>
      </c>
      <c r="E628" s="111">
        <v>28.5322</v>
      </c>
    </row>
    <row r="629" spans="1:5" ht="14.25">
      <c r="A629" s="134">
        <v>36769</v>
      </c>
      <c r="B629" s="111">
        <v>46.4077</v>
      </c>
      <c r="C629" s="111">
        <f t="shared" si="10"/>
        <v>0.046407699999999996</v>
      </c>
      <c r="D629" s="111">
        <v>26.7033</v>
      </c>
      <c r="E629" s="111">
        <v>29.9734</v>
      </c>
    </row>
    <row r="630" spans="1:5" ht="14.25">
      <c r="A630" s="134">
        <v>36770</v>
      </c>
      <c r="B630" s="111">
        <v>45.4656</v>
      </c>
      <c r="C630" s="111">
        <f t="shared" si="10"/>
        <v>0.0454656</v>
      </c>
      <c r="D630" s="111">
        <v>26.127</v>
      </c>
      <c r="E630" s="111">
        <v>29.3364</v>
      </c>
    </row>
    <row r="631" spans="1:5" ht="14.25">
      <c r="A631" s="134">
        <v>36773</v>
      </c>
      <c r="B631" s="111">
        <v>51.9747</v>
      </c>
      <c r="C631" s="111">
        <f t="shared" si="10"/>
        <v>0.0519747</v>
      </c>
      <c r="D631" s="111">
        <v>29.8502</v>
      </c>
      <c r="E631" s="111">
        <v>33.5321</v>
      </c>
    </row>
    <row r="632" spans="1:5" ht="14.25">
      <c r="A632" s="134">
        <v>36774</v>
      </c>
      <c r="B632" s="111">
        <v>51.984</v>
      </c>
      <c r="C632" s="111">
        <f t="shared" si="10"/>
        <v>0.051984</v>
      </c>
      <c r="D632" s="111">
        <v>30.1221</v>
      </c>
      <c r="E632" s="111">
        <v>33.469</v>
      </c>
    </row>
    <row r="633" spans="1:5" ht="14.25">
      <c r="A633" s="134">
        <v>36775</v>
      </c>
      <c r="B633" s="111">
        <v>54.4206</v>
      </c>
      <c r="C633" s="111">
        <f t="shared" si="10"/>
        <v>0.0544206</v>
      </c>
      <c r="D633" s="111">
        <v>31.219</v>
      </c>
      <c r="E633" s="111">
        <v>35.1327</v>
      </c>
    </row>
    <row r="634" spans="1:5" ht="14.25">
      <c r="A634" s="134">
        <v>36776</v>
      </c>
      <c r="B634" s="111">
        <v>55.9869</v>
      </c>
      <c r="C634" s="111">
        <f t="shared" si="10"/>
        <v>0.0559869</v>
      </c>
      <c r="D634" s="111">
        <v>31.8881</v>
      </c>
      <c r="E634" s="111">
        <v>36.1625</v>
      </c>
    </row>
    <row r="635" spans="1:5" ht="14.25">
      <c r="A635" s="134">
        <v>36777</v>
      </c>
      <c r="B635" s="111">
        <v>57.6987</v>
      </c>
      <c r="C635" s="111">
        <f t="shared" si="10"/>
        <v>0.057698700000000006</v>
      </c>
      <c r="D635" s="111">
        <v>32.3632</v>
      </c>
      <c r="E635" s="111">
        <v>37.302</v>
      </c>
    </row>
    <row r="636" spans="1:5" ht="14.25">
      <c r="A636" s="134">
        <v>36780</v>
      </c>
      <c r="B636" s="111">
        <v>54.4856</v>
      </c>
      <c r="C636" s="111">
        <f t="shared" si="10"/>
        <v>0.0544856</v>
      </c>
      <c r="D636" s="111">
        <v>30.7251</v>
      </c>
      <c r="E636" s="111">
        <v>35.1747</v>
      </c>
    </row>
    <row r="637" spans="1:5" ht="14.25">
      <c r="A637" s="134">
        <v>36781</v>
      </c>
      <c r="B637" s="111">
        <v>54.4049</v>
      </c>
      <c r="C637" s="111">
        <f t="shared" si="10"/>
        <v>0.0544049</v>
      </c>
      <c r="D637" s="111">
        <v>30.6166</v>
      </c>
      <c r="E637" s="111">
        <v>35.5634</v>
      </c>
    </row>
    <row r="638" spans="1:5" ht="14.25">
      <c r="A638" s="134">
        <v>36782</v>
      </c>
      <c r="B638" s="111">
        <v>55.5537</v>
      </c>
      <c r="C638" s="111">
        <f t="shared" si="10"/>
        <v>0.0555537</v>
      </c>
      <c r="D638" s="111">
        <v>31.4457</v>
      </c>
      <c r="E638" s="111">
        <v>36.5053</v>
      </c>
    </row>
    <row r="639" spans="1:5" ht="14.25">
      <c r="A639" s="134">
        <v>36783</v>
      </c>
      <c r="B639" s="111">
        <v>62.483</v>
      </c>
      <c r="C639" s="111">
        <f t="shared" si="10"/>
        <v>0.062483</v>
      </c>
      <c r="D639" s="111">
        <v>35.3741</v>
      </c>
      <c r="E639" s="111">
        <v>40.876</v>
      </c>
    </row>
    <row r="640" spans="1:5" ht="14.25">
      <c r="A640" s="134">
        <v>36784</v>
      </c>
      <c r="B640" s="111">
        <v>58.9376</v>
      </c>
      <c r="C640" s="111">
        <f t="shared" si="10"/>
        <v>0.05893760000000001</v>
      </c>
      <c r="D640" s="111">
        <v>33.5634</v>
      </c>
      <c r="E640" s="111">
        <v>38.6096</v>
      </c>
    </row>
    <row r="641" spans="1:5" ht="14.25">
      <c r="A641" s="134">
        <v>36787</v>
      </c>
      <c r="B641" s="111">
        <v>51.8469</v>
      </c>
      <c r="C641" s="111">
        <f t="shared" si="10"/>
        <v>0.0518469</v>
      </c>
      <c r="D641" s="111">
        <v>29.2355</v>
      </c>
      <c r="E641" s="111">
        <v>33.9356</v>
      </c>
    </row>
    <row r="642" spans="1:5" ht="14.25">
      <c r="A642" s="134">
        <v>36788</v>
      </c>
      <c r="B642" s="111">
        <v>52.6595</v>
      </c>
      <c r="C642" s="111">
        <f t="shared" si="10"/>
        <v>0.052659500000000005</v>
      </c>
      <c r="D642" s="111">
        <v>29.47</v>
      </c>
      <c r="E642" s="111">
        <v>34.5649</v>
      </c>
    </row>
    <row r="643" spans="1:5" ht="14.25">
      <c r="A643" s="134">
        <v>36789</v>
      </c>
      <c r="B643" s="111">
        <v>54.0684</v>
      </c>
      <c r="C643" s="111">
        <f aca="true" t="shared" si="11" ref="C643:C706">B643*10^-3</f>
        <v>0.054068399999999996</v>
      </c>
      <c r="D643" s="111">
        <v>30.3815</v>
      </c>
      <c r="E643" s="111">
        <v>35.5713</v>
      </c>
    </row>
    <row r="644" spans="1:5" ht="14.25">
      <c r="A644" s="134">
        <v>36790</v>
      </c>
      <c r="B644" s="111">
        <v>58.8839</v>
      </c>
      <c r="C644" s="111">
        <f t="shared" si="11"/>
        <v>0.058883899999999996</v>
      </c>
      <c r="D644" s="111">
        <v>33.0027</v>
      </c>
      <c r="E644" s="111">
        <v>38.9367</v>
      </c>
    </row>
    <row r="645" spans="1:5" ht="14.25">
      <c r="A645" s="134">
        <v>36791</v>
      </c>
      <c r="B645" s="111">
        <v>56.243</v>
      </c>
      <c r="C645" s="111">
        <f t="shared" si="11"/>
        <v>0.056243</v>
      </c>
      <c r="D645" s="111">
        <v>31.7494</v>
      </c>
      <c r="E645" s="111">
        <v>37.2471</v>
      </c>
    </row>
    <row r="646" spans="1:5" ht="14.25">
      <c r="A646" s="134">
        <v>36794</v>
      </c>
      <c r="B646" s="111">
        <v>54.7423</v>
      </c>
      <c r="C646" s="111">
        <f t="shared" si="11"/>
        <v>0.0547423</v>
      </c>
      <c r="D646" s="111">
        <v>31.7704</v>
      </c>
      <c r="E646" s="111">
        <v>35.7372</v>
      </c>
    </row>
    <row r="647" spans="1:5" ht="14.25">
      <c r="A647" s="134">
        <v>36795</v>
      </c>
      <c r="B647" s="111">
        <v>55.4923</v>
      </c>
      <c r="C647" s="111">
        <f t="shared" si="11"/>
        <v>0.0554923</v>
      </c>
      <c r="D647" s="111">
        <v>31.9734</v>
      </c>
      <c r="E647" s="111">
        <v>36.4577</v>
      </c>
    </row>
    <row r="648" spans="1:5" ht="14.25">
      <c r="A648" s="134">
        <v>36796</v>
      </c>
      <c r="B648" s="111">
        <v>55.8209</v>
      </c>
      <c r="C648" s="111">
        <f t="shared" si="11"/>
        <v>0.0558209</v>
      </c>
      <c r="D648" s="111">
        <v>32.1849</v>
      </c>
      <c r="E648" s="111">
        <v>36.7533</v>
      </c>
    </row>
    <row r="649" spans="1:5" ht="14.25">
      <c r="A649" s="134">
        <v>36797</v>
      </c>
      <c r="B649" s="111">
        <v>54.8847</v>
      </c>
      <c r="C649" s="111">
        <f t="shared" si="11"/>
        <v>0.0548847</v>
      </c>
      <c r="D649" s="111">
        <v>31.8824</v>
      </c>
      <c r="E649" s="111">
        <v>35.9806</v>
      </c>
    </row>
    <row r="650" spans="1:5" ht="14.25">
      <c r="A650" s="134">
        <v>36798</v>
      </c>
      <c r="B650" s="111">
        <v>52.7661</v>
      </c>
      <c r="C650" s="111">
        <f t="shared" si="11"/>
        <v>0.0527661</v>
      </c>
      <c r="D650" s="111">
        <v>30.5454</v>
      </c>
      <c r="E650" s="111">
        <v>34.5849</v>
      </c>
    </row>
    <row r="651" spans="1:5" ht="14.25">
      <c r="A651" s="134">
        <v>36801</v>
      </c>
      <c r="B651" s="111">
        <v>39.4288</v>
      </c>
      <c r="C651" s="111">
        <f t="shared" si="11"/>
        <v>0.0394288</v>
      </c>
      <c r="D651" s="111">
        <v>22.6767</v>
      </c>
      <c r="E651" s="111">
        <v>25.8719</v>
      </c>
    </row>
    <row r="652" spans="1:5" ht="14.25">
      <c r="A652" s="134">
        <v>36802</v>
      </c>
      <c r="B652" s="111">
        <v>38.2099</v>
      </c>
      <c r="C652" s="111">
        <f t="shared" si="11"/>
        <v>0.0382099</v>
      </c>
      <c r="D652" s="111">
        <v>22.0728</v>
      </c>
      <c r="E652" s="111">
        <v>25.0771</v>
      </c>
    </row>
    <row r="653" spans="1:5" ht="14.25">
      <c r="A653" s="134">
        <v>36803</v>
      </c>
      <c r="B653" s="111">
        <v>42.4247</v>
      </c>
      <c r="C653" s="111">
        <f t="shared" si="11"/>
        <v>0.0424247</v>
      </c>
      <c r="D653" s="111">
        <v>24.5068</v>
      </c>
      <c r="E653" s="111">
        <v>27.9662</v>
      </c>
    </row>
    <row r="654" spans="1:5" ht="14.25">
      <c r="A654" s="134">
        <v>36804</v>
      </c>
      <c r="B654" s="111">
        <v>42.3515</v>
      </c>
      <c r="C654" s="111">
        <f t="shared" si="11"/>
        <v>0.0423515</v>
      </c>
      <c r="D654" s="111">
        <v>24.3965</v>
      </c>
      <c r="E654" s="111">
        <v>27.9455</v>
      </c>
    </row>
    <row r="655" spans="1:5" ht="14.25">
      <c r="A655" s="134">
        <v>36805</v>
      </c>
      <c r="B655" s="111">
        <v>40.9911</v>
      </c>
      <c r="C655" s="111">
        <f t="shared" si="11"/>
        <v>0.0409911</v>
      </c>
      <c r="D655" s="111">
        <v>23.6503</v>
      </c>
      <c r="E655" s="111">
        <v>26.9182</v>
      </c>
    </row>
    <row r="656" spans="1:5" ht="14.25">
      <c r="A656" s="134">
        <v>36808</v>
      </c>
      <c r="B656" s="111">
        <v>43.4988</v>
      </c>
      <c r="C656" s="111">
        <f t="shared" si="11"/>
        <v>0.043498800000000004</v>
      </c>
      <c r="D656" s="111">
        <v>24.821</v>
      </c>
      <c r="E656" s="111">
        <v>28.5201</v>
      </c>
    </row>
    <row r="657" spans="1:5" ht="14.25">
      <c r="A657" s="134">
        <v>36809</v>
      </c>
      <c r="B657" s="111">
        <v>45.8667</v>
      </c>
      <c r="C657" s="111">
        <f t="shared" si="11"/>
        <v>0.0458667</v>
      </c>
      <c r="D657" s="111">
        <v>26.2151</v>
      </c>
      <c r="E657" s="111">
        <v>30.1496</v>
      </c>
    </row>
    <row r="658" spans="1:5" ht="14.25">
      <c r="A658" s="134">
        <v>36810</v>
      </c>
      <c r="B658" s="111">
        <v>46.8292</v>
      </c>
      <c r="C658" s="111">
        <f t="shared" si="11"/>
        <v>0.0468292</v>
      </c>
      <c r="D658" s="111">
        <v>26.8842</v>
      </c>
      <c r="E658" s="111">
        <v>30.8269</v>
      </c>
    </row>
    <row r="659" spans="1:5" ht="14.25">
      <c r="A659" s="134">
        <v>36811</v>
      </c>
      <c r="B659" s="111">
        <v>46.6421</v>
      </c>
      <c r="C659" s="111">
        <f t="shared" si="11"/>
        <v>0.0466421</v>
      </c>
      <c r="D659" s="111">
        <v>26.919</v>
      </c>
      <c r="E659" s="111">
        <v>30.8704</v>
      </c>
    </row>
    <row r="660" spans="1:5" ht="14.25">
      <c r="A660" s="134">
        <v>36812</v>
      </c>
      <c r="B660" s="111">
        <v>48.2891</v>
      </c>
      <c r="C660" s="111">
        <f t="shared" si="11"/>
        <v>0.0482891</v>
      </c>
      <c r="D660" s="111">
        <v>27.6284</v>
      </c>
      <c r="E660" s="111">
        <v>31.9478</v>
      </c>
    </row>
    <row r="661" spans="1:5" ht="14.25">
      <c r="A661" s="134">
        <v>36815</v>
      </c>
      <c r="B661" s="111">
        <v>34.9743</v>
      </c>
      <c r="C661" s="111">
        <f t="shared" si="11"/>
        <v>0.0349743</v>
      </c>
      <c r="D661" s="111">
        <v>20.0255</v>
      </c>
      <c r="E661" s="111">
        <v>23.2125</v>
      </c>
    </row>
    <row r="662" spans="1:5" ht="14.25">
      <c r="A662" s="134">
        <v>36816</v>
      </c>
      <c r="B662" s="111">
        <v>37.3205</v>
      </c>
      <c r="C662" s="111">
        <f t="shared" si="11"/>
        <v>0.037320500000000006</v>
      </c>
      <c r="D662" s="111">
        <v>21.0048</v>
      </c>
      <c r="E662" s="111">
        <v>24.6796</v>
      </c>
    </row>
    <row r="663" spans="1:5" ht="14.25">
      <c r="A663" s="134">
        <v>36817</v>
      </c>
      <c r="B663" s="111">
        <v>36.6631</v>
      </c>
      <c r="C663" s="111">
        <f t="shared" si="11"/>
        <v>0.036663100000000004</v>
      </c>
      <c r="D663" s="111">
        <v>20.5971</v>
      </c>
      <c r="E663" s="111">
        <v>24.2433</v>
      </c>
    </row>
    <row r="664" spans="1:5" ht="14.25">
      <c r="A664" s="134">
        <v>36818</v>
      </c>
      <c r="B664" s="111">
        <v>37.9158</v>
      </c>
      <c r="C664" s="111">
        <f t="shared" si="11"/>
        <v>0.0379158</v>
      </c>
      <c r="D664" s="111">
        <v>21.426</v>
      </c>
      <c r="E664" s="111">
        <v>25.1331</v>
      </c>
    </row>
    <row r="665" spans="1:5" ht="14.25">
      <c r="A665" s="134">
        <v>36819</v>
      </c>
      <c r="B665" s="111">
        <v>38.2609</v>
      </c>
      <c r="C665" s="111">
        <f t="shared" si="11"/>
        <v>0.0382609</v>
      </c>
      <c r="D665" s="111">
        <v>21.3971</v>
      </c>
      <c r="E665" s="111">
        <v>25.4394</v>
      </c>
    </row>
    <row r="666" spans="1:5" ht="14.25">
      <c r="A666" s="134">
        <v>36822</v>
      </c>
      <c r="B666" s="111">
        <v>37.5796</v>
      </c>
      <c r="C666" s="111">
        <f t="shared" si="11"/>
        <v>0.0375796</v>
      </c>
      <c r="D666" s="111">
        <v>21.0933</v>
      </c>
      <c r="E666" s="111">
        <v>24.9566</v>
      </c>
    </row>
    <row r="667" spans="1:5" ht="14.25">
      <c r="A667" s="134">
        <v>36823</v>
      </c>
      <c r="B667" s="111">
        <v>45.0345</v>
      </c>
      <c r="C667" s="111">
        <f t="shared" si="11"/>
        <v>0.045034500000000005</v>
      </c>
      <c r="D667" s="111">
        <v>25.1268</v>
      </c>
      <c r="E667" s="111">
        <v>29.995</v>
      </c>
    </row>
    <row r="668" spans="1:5" ht="14.25">
      <c r="A668" s="134">
        <v>36824</v>
      </c>
      <c r="B668" s="111">
        <v>47.1507</v>
      </c>
      <c r="C668" s="111">
        <f t="shared" si="11"/>
        <v>0.047150700000000004</v>
      </c>
      <c r="D668" s="111">
        <v>26.3323</v>
      </c>
      <c r="E668" s="111">
        <v>31.4003</v>
      </c>
    </row>
    <row r="669" spans="1:5" ht="14.25">
      <c r="A669" s="134">
        <v>36825</v>
      </c>
      <c r="B669" s="111">
        <v>45.4235</v>
      </c>
      <c r="C669" s="111">
        <f t="shared" si="11"/>
        <v>0.0454235</v>
      </c>
      <c r="D669" s="111">
        <v>25.1304</v>
      </c>
      <c r="E669" s="111">
        <v>30.2521</v>
      </c>
    </row>
    <row r="670" spans="1:5" ht="14.25">
      <c r="A670" s="134">
        <v>36826</v>
      </c>
      <c r="B670" s="111">
        <v>47.5545</v>
      </c>
      <c r="C670" s="111">
        <f t="shared" si="11"/>
        <v>0.0475545</v>
      </c>
      <c r="D670" s="111">
        <v>26.0088</v>
      </c>
      <c r="E670" s="111">
        <v>31.5181</v>
      </c>
    </row>
    <row r="671" spans="1:5" ht="14.25">
      <c r="A671" s="134">
        <v>36829</v>
      </c>
      <c r="B671" s="111">
        <v>48.4686</v>
      </c>
      <c r="C671" s="111">
        <f t="shared" si="11"/>
        <v>0.0484686</v>
      </c>
      <c r="D671" s="111">
        <v>26.6763</v>
      </c>
      <c r="E671" s="111">
        <v>32.0475</v>
      </c>
    </row>
    <row r="672" spans="1:5" ht="14.25">
      <c r="A672" s="134">
        <v>36830</v>
      </c>
      <c r="B672" s="111">
        <v>50.6988</v>
      </c>
      <c r="C672" s="111">
        <f t="shared" si="11"/>
        <v>0.0506988</v>
      </c>
      <c r="D672" s="111">
        <v>28.2263</v>
      </c>
      <c r="E672" s="111">
        <v>33.2778</v>
      </c>
    </row>
    <row r="673" spans="1:5" ht="14.25">
      <c r="A673" s="134">
        <v>36831</v>
      </c>
      <c r="B673" s="111">
        <v>45.7482</v>
      </c>
      <c r="C673" s="111">
        <f t="shared" si="11"/>
        <v>0.045748199999999996</v>
      </c>
      <c r="D673" s="111">
        <v>25.3164</v>
      </c>
      <c r="E673" s="111">
        <v>30.0777</v>
      </c>
    </row>
    <row r="674" spans="1:5" ht="14.25">
      <c r="A674" s="134">
        <v>36832</v>
      </c>
      <c r="B674" s="111">
        <v>48.0971</v>
      </c>
      <c r="C674" s="111">
        <f t="shared" si="11"/>
        <v>0.0480971</v>
      </c>
      <c r="D674" s="111">
        <v>31.4792</v>
      </c>
      <c r="E674" s="111">
        <v>26.9273</v>
      </c>
    </row>
    <row r="675" spans="1:5" ht="14.25">
      <c r="A675" s="134">
        <v>36833</v>
      </c>
      <c r="B675" s="111">
        <v>49.8003</v>
      </c>
      <c r="C675" s="111">
        <f t="shared" si="11"/>
        <v>0.0498003</v>
      </c>
      <c r="D675" s="111">
        <v>28.1641</v>
      </c>
      <c r="E675" s="111">
        <v>32.5747</v>
      </c>
    </row>
    <row r="676" spans="1:5" ht="14.25">
      <c r="A676" s="134">
        <v>36836</v>
      </c>
      <c r="B676" s="111">
        <v>47.8139</v>
      </c>
      <c r="C676" s="111">
        <f t="shared" si="11"/>
        <v>0.0478139</v>
      </c>
      <c r="D676" s="111">
        <v>27.2821</v>
      </c>
      <c r="E676" s="111">
        <v>31.2509</v>
      </c>
    </row>
    <row r="677" spans="1:5" ht="14.25">
      <c r="A677" s="134">
        <v>36837</v>
      </c>
      <c r="B677" s="111">
        <v>44.8999</v>
      </c>
      <c r="C677" s="111">
        <f t="shared" si="11"/>
        <v>0.044899900000000006</v>
      </c>
      <c r="D677" s="111">
        <v>21.5145</v>
      </c>
      <c r="E677" s="111">
        <v>29.4387</v>
      </c>
    </row>
    <row r="678" spans="1:5" ht="14.25">
      <c r="A678" s="134">
        <v>36838</v>
      </c>
      <c r="B678" s="111">
        <v>42.3146</v>
      </c>
      <c r="C678" s="111">
        <f t="shared" si="11"/>
        <v>0.0423146</v>
      </c>
      <c r="D678" s="111">
        <v>23.883</v>
      </c>
      <c r="E678" s="111">
        <v>27.8129</v>
      </c>
    </row>
    <row r="679" spans="1:5" ht="14.25">
      <c r="A679" s="134">
        <v>36839</v>
      </c>
      <c r="B679" s="111">
        <v>45.0246</v>
      </c>
      <c r="C679" s="111">
        <f t="shared" si="11"/>
        <v>0.0450246</v>
      </c>
      <c r="D679" s="111">
        <v>25.3563</v>
      </c>
      <c r="E679" s="111">
        <v>29.6253</v>
      </c>
    </row>
    <row r="680" spans="1:5" ht="14.25">
      <c r="A680" s="134">
        <v>36840</v>
      </c>
      <c r="B680" s="111">
        <v>42.3444</v>
      </c>
      <c r="C680" s="111">
        <f t="shared" si="11"/>
        <v>0.042344400000000004</v>
      </c>
      <c r="D680" s="111">
        <v>23.7517</v>
      </c>
      <c r="E680" s="111">
        <v>27.8417</v>
      </c>
    </row>
    <row r="681" spans="1:5" ht="14.25">
      <c r="A681" s="134">
        <v>36843</v>
      </c>
      <c r="B681" s="111">
        <v>44.0802</v>
      </c>
      <c r="C681" s="111">
        <f t="shared" si="11"/>
        <v>0.0440802</v>
      </c>
      <c r="D681" s="111">
        <v>25.0973</v>
      </c>
      <c r="E681" s="111">
        <v>28.9373</v>
      </c>
    </row>
    <row r="682" spans="1:5" ht="14.25">
      <c r="A682" s="134">
        <v>36844</v>
      </c>
      <c r="B682" s="111">
        <v>45.7688</v>
      </c>
      <c r="C682" s="111">
        <f t="shared" si="11"/>
        <v>0.0457688</v>
      </c>
      <c r="D682" s="111">
        <v>25.9301</v>
      </c>
      <c r="E682" s="111">
        <v>30.0814</v>
      </c>
    </row>
    <row r="683" spans="1:5" ht="14.25">
      <c r="A683" s="134">
        <v>36845</v>
      </c>
      <c r="B683" s="111">
        <v>47.1113</v>
      </c>
      <c r="C683" s="111">
        <f t="shared" si="11"/>
        <v>0.0471113</v>
      </c>
      <c r="D683" s="111">
        <v>26.6129</v>
      </c>
      <c r="E683" s="111">
        <v>31.0065</v>
      </c>
    </row>
    <row r="684" spans="1:5" ht="14.25">
      <c r="A684" s="134">
        <v>36846</v>
      </c>
      <c r="B684" s="111">
        <v>46.694</v>
      </c>
      <c r="C684" s="111">
        <f t="shared" si="11"/>
        <v>0.046694000000000006</v>
      </c>
      <c r="D684" s="111">
        <v>26.3581</v>
      </c>
      <c r="E684" s="111">
        <v>30.6633</v>
      </c>
    </row>
    <row r="685" spans="1:5" ht="14.25">
      <c r="A685" s="134">
        <v>36847</v>
      </c>
      <c r="B685" s="111">
        <v>45.5102</v>
      </c>
      <c r="C685" s="111">
        <f t="shared" si="11"/>
        <v>0.0455102</v>
      </c>
      <c r="D685" s="111">
        <v>25.5354</v>
      </c>
      <c r="E685" s="111">
        <v>29.7997</v>
      </c>
    </row>
    <row r="686" spans="1:5" ht="14.25">
      <c r="A686" s="134">
        <v>36850</v>
      </c>
      <c r="B686" s="111">
        <v>45.8762</v>
      </c>
      <c r="C686" s="111">
        <f t="shared" si="11"/>
        <v>0.0458762</v>
      </c>
      <c r="D686" s="111">
        <v>25.6857</v>
      </c>
      <c r="E686" s="111">
        <v>30.0946</v>
      </c>
    </row>
    <row r="687" spans="1:5" ht="14.25">
      <c r="A687" s="134">
        <v>36851</v>
      </c>
      <c r="B687" s="111">
        <v>48.023</v>
      </c>
      <c r="C687" s="111">
        <f t="shared" si="11"/>
        <v>0.048023</v>
      </c>
      <c r="D687" s="111">
        <v>26.6575</v>
      </c>
      <c r="E687" s="111">
        <v>31.4061</v>
      </c>
    </row>
    <row r="688" spans="1:5" ht="14.25">
      <c r="A688" s="134">
        <v>36852</v>
      </c>
      <c r="B688" s="111">
        <v>47.7293</v>
      </c>
      <c r="C688" s="111">
        <f t="shared" si="11"/>
        <v>0.0477293</v>
      </c>
      <c r="D688" s="111">
        <v>26.5811</v>
      </c>
      <c r="E688" s="111">
        <v>31.3678</v>
      </c>
    </row>
    <row r="689" spans="1:5" ht="14.25">
      <c r="A689" s="134">
        <v>36853</v>
      </c>
      <c r="B689" s="111">
        <v>47.168</v>
      </c>
      <c r="C689" s="111">
        <f t="shared" si="11"/>
        <v>0.047168</v>
      </c>
      <c r="D689" s="111">
        <v>26.1496</v>
      </c>
      <c r="E689" s="111">
        <v>31.0234</v>
      </c>
    </row>
    <row r="690" spans="1:5" ht="14.25">
      <c r="A690" s="134">
        <v>36854</v>
      </c>
      <c r="B690" s="111">
        <v>47.6876</v>
      </c>
      <c r="C690" s="111">
        <f t="shared" si="11"/>
        <v>0.047687600000000004</v>
      </c>
      <c r="D690" s="111">
        <v>26.4541</v>
      </c>
      <c r="E690" s="111">
        <v>31.392</v>
      </c>
    </row>
    <row r="691" spans="1:5" ht="14.25">
      <c r="A691" s="134">
        <v>36857</v>
      </c>
      <c r="B691" s="111">
        <v>46.6983</v>
      </c>
      <c r="C691" s="111">
        <f t="shared" si="11"/>
        <v>0.046698300000000005</v>
      </c>
      <c r="D691" s="111">
        <v>25.909</v>
      </c>
      <c r="E691" s="111">
        <v>30.7125</v>
      </c>
    </row>
    <row r="692" spans="1:5" ht="14.25">
      <c r="A692" s="134">
        <v>36858</v>
      </c>
      <c r="B692" s="111">
        <v>49.0542</v>
      </c>
      <c r="C692" s="111">
        <f t="shared" si="11"/>
        <v>0.0490542</v>
      </c>
      <c r="D692" s="111">
        <v>27.2142</v>
      </c>
      <c r="E692" s="111">
        <v>32.3748</v>
      </c>
    </row>
    <row r="693" spans="1:5" ht="14.25">
      <c r="A693" s="134">
        <v>36859</v>
      </c>
      <c r="B693" s="111">
        <v>49.0813</v>
      </c>
      <c r="C693" s="111">
        <f t="shared" si="11"/>
        <v>0.0490813</v>
      </c>
      <c r="D693" s="111">
        <v>27.7387</v>
      </c>
      <c r="E693" s="111">
        <v>32.4012</v>
      </c>
    </row>
    <row r="694" spans="1:5" ht="14.25">
      <c r="A694" s="134">
        <v>36860</v>
      </c>
      <c r="B694" s="111">
        <v>48.1607</v>
      </c>
      <c r="C694" s="111">
        <f t="shared" si="11"/>
        <v>0.0481607</v>
      </c>
      <c r="D694" s="111">
        <v>27.5267</v>
      </c>
      <c r="E694" s="111">
        <v>31.8228</v>
      </c>
    </row>
    <row r="695" spans="1:5" ht="14.25">
      <c r="A695" s="134">
        <v>36861</v>
      </c>
      <c r="B695" s="111">
        <v>46.2923</v>
      </c>
      <c r="C695" s="111">
        <f t="shared" si="11"/>
        <v>0.0462923</v>
      </c>
      <c r="D695" s="111">
        <v>26.6315</v>
      </c>
      <c r="E695" s="111">
        <v>30.6673</v>
      </c>
    </row>
    <row r="696" spans="1:5" ht="14.25">
      <c r="A696" s="134">
        <v>36864</v>
      </c>
      <c r="B696" s="111">
        <v>41.7977</v>
      </c>
      <c r="C696" s="111">
        <f t="shared" si="11"/>
        <v>0.0417977</v>
      </c>
      <c r="D696" s="111">
        <v>24.1247</v>
      </c>
      <c r="E696" s="111">
        <v>27.6184</v>
      </c>
    </row>
    <row r="697" spans="1:5" ht="14.25">
      <c r="A697" s="134">
        <v>36865</v>
      </c>
      <c r="B697" s="111">
        <v>45.468</v>
      </c>
      <c r="C697" s="111">
        <f t="shared" si="11"/>
        <v>0.045468</v>
      </c>
      <c r="D697" s="111">
        <v>26.7064</v>
      </c>
      <c r="E697" s="111">
        <v>29.9802</v>
      </c>
    </row>
    <row r="698" spans="1:5" ht="14.25">
      <c r="A698" s="134">
        <v>36866</v>
      </c>
      <c r="B698" s="111">
        <v>44.6066</v>
      </c>
      <c r="C698" s="111">
        <f t="shared" si="11"/>
        <v>0.0446066</v>
      </c>
      <c r="D698" s="111">
        <v>26.0341</v>
      </c>
      <c r="E698" s="111">
        <v>29.5506</v>
      </c>
    </row>
    <row r="699" spans="1:5" ht="14.25">
      <c r="A699" s="134">
        <v>36867</v>
      </c>
      <c r="B699" s="111">
        <v>45.2266</v>
      </c>
      <c r="C699" s="111">
        <f t="shared" si="11"/>
        <v>0.0452266</v>
      </c>
      <c r="D699" s="111">
        <v>26.4131</v>
      </c>
      <c r="E699" s="111">
        <v>29.9197</v>
      </c>
    </row>
    <row r="700" spans="1:5" ht="14.25">
      <c r="A700" s="134">
        <v>36868</v>
      </c>
      <c r="B700" s="111">
        <v>42.6852</v>
      </c>
      <c r="C700" s="111">
        <f t="shared" si="11"/>
        <v>0.0426852</v>
      </c>
      <c r="D700" s="111">
        <v>25.1936</v>
      </c>
      <c r="E700" s="111">
        <v>28.1713</v>
      </c>
    </row>
    <row r="701" spans="1:5" ht="14.25">
      <c r="A701" s="134">
        <v>36871</v>
      </c>
      <c r="B701" s="111">
        <v>43.3876</v>
      </c>
      <c r="C701" s="111">
        <f t="shared" si="11"/>
        <v>0.0433876</v>
      </c>
      <c r="D701" s="111">
        <v>25.5112</v>
      </c>
      <c r="E701" s="111">
        <v>28.6803</v>
      </c>
    </row>
    <row r="702" spans="1:5" ht="14.25">
      <c r="A702" s="134">
        <v>36872</v>
      </c>
      <c r="B702" s="111">
        <v>43.437</v>
      </c>
      <c r="C702" s="111">
        <f t="shared" si="11"/>
        <v>0.043436999999999996</v>
      </c>
      <c r="D702" s="111">
        <v>25.3409</v>
      </c>
      <c r="E702" s="111">
        <v>28.7834</v>
      </c>
    </row>
    <row r="703" spans="1:5" ht="14.25">
      <c r="A703" s="134">
        <v>36873</v>
      </c>
      <c r="B703" s="111">
        <v>42.3886</v>
      </c>
      <c r="C703" s="111">
        <f t="shared" si="11"/>
        <v>0.0423886</v>
      </c>
      <c r="D703" s="111">
        <v>24.7511</v>
      </c>
      <c r="E703" s="111">
        <v>28.1839</v>
      </c>
    </row>
    <row r="704" spans="1:5" ht="14.25">
      <c r="A704" s="134">
        <v>36874</v>
      </c>
      <c r="B704" s="111">
        <v>43.2683</v>
      </c>
      <c r="C704" s="111">
        <f t="shared" si="11"/>
        <v>0.0432683</v>
      </c>
      <c r="D704" s="111">
        <v>25.1736</v>
      </c>
      <c r="E704" s="111">
        <v>28.7765</v>
      </c>
    </row>
    <row r="705" spans="1:5" ht="14.25">
      <c r="A705" s="134">
        <v>36875</v>
      </c>
      <c r="B705" s="111">
        <v>44.2613</v>
      </c>
      <c r="C705" s="111">
        <f t="shared" si="11"/>
        <v>0.044261299999999996</v>
      </c>
      <c r="D705" s="111">
        <v>25.9864</v>
      </c>
      <c r="E705" s="111">
        <v>29.3997</v>
      </c>
    </row>
    <row r="706" spans="1:5" ht="14.25">
      <c r="A706" s="134">
        <v>36878</v>
      </c>
      <c r="B706" s="111">
        <v>44.266</v>
      </c>
      <c r="C706" s="111">
        <f t="shared" si="11"/>
        <v>0.044266</v>
      </c>
      <c r="D706" s="111">
        <v>26.3613</v>
      </c>
      <c r="E706" s="111">
        <v>29.3425</v>
      </c>
    </row>
    <row r="707" spans="1:5" ht="14.25">
      <c r="A707" s="134">
        <v>36879</v>
      </c>
      <c r="B707" s="111">
        <v>49.9073</v>
      </c>
      <c r="C707" s="111">
        <f aca="true" t="shared" si="12" ref="C707:C770">B707*10^-3</f>
        <v>0.0499073</v>
      </c>
      <c r="D707" s="111">
        <v>29.7223</v>
      </c>
      <c r="E707" s="111">
        <v>33.15</v>
      </c>
    </row>
    <row r="708" spans="1:5" ht="14.25">
      <c r="A708" s="134">
        <v>36880</v>
      </c>
      <c r="B708" s="111">
        <v>52.8451</v>
      </c>
      <c r="C708" s="111">
        <f t="shared" si="12"/>
        <v>0.052845100000000006</v>
      </c>
      <c r="D708" s="111">
        <v>31.232</v>
      </c>
      <c r="E708" s="111">
        <v>35.0804</v>
      </c>
    </row>
    <row r="709" spans="1:5" ht="14.25">
      <c r="A709" s="134">
        <v>36881</v>
      </c>
      <c r="B709" s="111">
        <v>48.8587</v>
      </c>
      <c r="C709" s="111">
        <f t="shared" si="12"/>
        <v>0.0488587</v>
      </c>
      <c r="D709" s="111">
        <v>29.1921</v>
      </c>
      <c r="E709" s="111">
        <v>32.2244</v>
      </c>
    </row>
    <row r="710" spans="1:5" ht="14.25">
      <c r="A710" s="134">
        <v>36882</v>
      </c>
      <c r="B710" s="111">
        <v>43.5496</v>
      </c>
      <c r="C710" s="111">
        <f t="shared" si="12"/>
        <v>0.0435496</v>
      </c>
      <c r="D710" s="111">
        <v>26.1286</v>
      </c>
      <c r="E710" s="111">
        <v>28.5683</v>
      </c>
    </row>
    <row r="711" spans="1:5" ht="14.25">
      <c r="A711" s="134">
        <v>36887</v>
      </c>
      <c r="B711" s="111">
        <v>32.4544</v>
      </c>
      <c r="C711" s="111">
        <f t="shared" si="12"/>
        <v>0.0324544</v>
      </c>
      <c r="D711" s="111">
        <v>19.7029</v>
      </c>
      <c r="E711" s="111">
        <v>21.3235</v>
      </c>
    </row>
    <row r="712" spans="1:5" ht="14.25">
      <c r="A712" s="134">
        <v>36888</v>
      </c>
      <c r="B712" s="111">
        <v>32.4889</v>
      </c>
      <c r="C712" s="111">
        <f t="shared" si="12"/>
        <v>0.0324889</v>
      </c>
      <c r="D712" s="111">
        <v>19.8433</v>
      </c>
      <c r="E712" s="111">
        <v>21.314</v>
      </c>
    </row>
    <row r="713" spans="1:5" ht="14.25">
      <c r="A713" s="134">
        <v>36889</v>
      </c>
      <c r="B713" s="111">
        <v>33.8983</v>
      </c>
      <c r="C713" s="111">
        <f t="shared" si="12"/>
        <v>0.0338983</v>
      </c>
      <c r="D713" s="111">
        <v>20.6039</v>
      </c>
      <c r="E713" s="111">
        <v>22.1905</v>
      </c>
    </row>
    <row r="714" spans="1:5" ht="14.25">
      <c r="A714" s="134">
        <v>36893</v>
      </c>
      <c r="B714" s="111">
        <v>41.5347</v>
      </c>
      <c r="C714" s="111">
        <f t="shared" si="12"/>
        <v>0.0415347</v>
      </c>
      <c r="D714" s="111">
        <v>25.3729</v>
      </c>
      <c r="E714" s="111">
        <v>27.2681</v>
      </c>
    </row>
    <row r="715" spans="1:5" ht="14.25">
      <c r="A715" s="134">
        <v>36894</v>
      </c>
      <c r="B715" s="111">
        <v>36.6374</v>
      </c>
      <c r="C715" s="111">
        <f t="shared" si="12"/>
        <v>0.0366374</v>
      </c>
      <c r="D715" s="111">
        <v>22.6859</v>
      </c>
      <c r="E715" s="111">
        <v>24.075</v>
      </c>
    </row>
    <row r="716" spans="1:5" ht="14.25">
      <c r="A716" s="134">
        <v>36895</v>
      </c>
      <c r="B716" s="111">
        <v>39.3912</v>
      </c>
      <c r="C716" s="111">
        <f t="shared" si="12"/>
        <v>0.0393912</v>
      </c>
      <c r="D716" s="111">
        <v>24.6648</v>
      </c>
      <c r="E716" s="111">
        <v>25.8812</v>
      </c>
    </row>
    <row r="717" spans="1:5" ht="14.25">
      <c r="A717" s="134">
        <v>36896</v>
      </c>
      <c r="B717" s="111">
        <v>38.6727</v>
      </c>
      <c r="C717" s="111">
        <f t="shared" si="12"/>
        <v>0.0386727</v>
      </c>
      <c r="D717" s="111">
        <v>24.0367</v>
      </c>
      <c r="E717" s="111">
        <v>25.4142</v>
      </c>
    </row>
    <row r="718" spans="1:5" ht="14.25">
      <c r="A718" s="134">
        <v>36899</v>
      </c>
      <c r="B718" s="111">
        <v>42.7309</v>
      </c>
      <c r="C718" s="111">
        <f t="shared" si="12"/>
        <v>0.0427309</v>
      </c>
      <c r="D718" s="111">
        <v>26.6754</v>
      </c>
      <c r="E718" s="111">
        <v>27.947</v>
      </c>
    </row>
    <row r="719" spans="1:5" ht="14.25">
      <c r="A719" s="134">
        <v>36900</v>
      </c>
      <c r="B719" s="111">
        <v>45.4048</v>
      </c>
      <c r="C719" s="111">
        <f t="shared" si="12"/>
        <v>0.0454048</v>
      </c>
      <c r="D719" s="111">
        <v>28.2372</v>
      </c>
      <c r="E719" s="111">
        <v>29.7327</v>
      </c>
    </row>
    <row r="720" spans="1:5" ht="14.25">
      <c r="A720" s="134">
        <v>36901</v>
      </c>
      <c r="B720" s="111">
        <v>43.1633</v>
      </c>
      <c r="C720" s="111">
        <f t="shared" si="12"/>
        <v>0.0431633</v>
      </c>
      <c r="D720" s="111">
        <v>26.6398</v>
      </c>
      <c r="E720" s="111">
        <v>28.3372</v>
      </c>
    </row>
    <row r="721" spans="1:5" ht="14.25">
      <c r="A721" s="134">
        <v>36902</v>
      </c>
      <c r="B721" s="111">
        <v>43.1275</v>
      </c>
      <c r="C721" s="111">
        <f t="shared" si="12"/>
        <v>0.0431275</v>
      </c>
      <c r="D721" s="111">
        <v>26.6297</v>
      </c>
      <c r="E721" s="111">
        <v>28.2933</v>
      </c>
    </row>
    <row r="722" spans="1:5" ht="14.25">
      <c r="A722" s="134">
        <v>36903</v>
      </c>
      <c r="B722" s="111">
        <v>45.1555</v>
      </c>
      <c r="C722" s="111">
        <f t="shared" si="12"/>
        <v>0.0451555</v>
      </c>
      <c r="D722" s="111">
        <v>28.0616</v>
      </c>
      <c r="E722" s="111">
        <v>29.4672</v>
      </c>
    </row>
    <row r="723" spans="1:5" ht="14.25">
      <c r="A723" s="134">
        <v>36906</v>
      </c>
      <c r="B723" s="111">
        <v>46.1915</v>
      </c>
      <c r="C723" s="111">
        <f t="shared" si="12"/>
        <v>0.046191499999999996</v>
      </c>
      <c r="D723" s="111">
        <v>28.6111</v>
      </c>
      <c r="E723" s="111">
        <v>29.975</v>
      </c>
    </row>
    <row r="724" spans="1:5" ht="14.25">
      <c r="A724" s="134">
        <v>36907</v>
      </c>
      <c r="B724" s="111">
        <v>51.0599</v>
      </c>
      <c r="C724" s="111">
        <f t="shared" si="12"/>
        <v>0.0510599</v>
      </c>
      <c r="D724" s="111">
        <v>31.2045</v>
      </c>
      <c r="E724" s="111">
        <v>33.0977</v>
      </c>
    </row>
    <row r="725" spans="1:5" ht="14.25">
      <c r="A725" s="134">
        <v>36908</v>
      </c>
      <c r="B725" s="111">
        <v>52.2959</v>
      </c>
      <c r="C725" s="111">
        <f t="shared" si="12"/>
        <v>0.052295900000000006</v>
      </c>
      <c r="D725" s="111">
        <v>31.9928</v>
      </c>
      <c r="E725" s="111">
        <v>33.9915</v>
      </c>
    </row>
    <row r="726" spans="1:5" ht="14.25">
      <c r="A726" s="134">
        <v>36909</v>
      </c>
      <c r="B726" s="111">
        <v>55.6578</v>
      </c>
      <c r="C726" s="111">
        <f t="shared" si="12"/>
        <v>0.0556578</v>
      </c>
      <c r="D726" s="111">
        <v>34.0159</v>
      </c>
      <c r="E726" s="111">
        <v>36.2026</v>
      </c>
    </row>
    <row r="727" spans="1:5" ht="14.25">
      <c r="A727" s="134">
        <v>36910</v>
      </c>
      <c r="B727" s="111">
        <v>47.8032</v>
      </c>
      <c r="C727" s="111">
        <f t="shared" si="12"/>
        <v>0.0478032</v>
      </c>
      <c r="D727" s="111">
        <v>29.4144</v>
      </c>
      <c r="E727" s="111">
        <v>31.2787</v>
      </c>
    </row>
    <row r="728" spans="1:5" ht="14.25">
      <c r="A728" s="134">
        <v>36913</v>
      </c>
      <c r="B728" s="111">
        <v>51.5249</v>
      </c>
      <c r="C728" s="111">
        <f t="shared" si="12"/>
        <v>0.051524900000000005</v>
      </c>
      <c r="D728" s="111">
        <v>31.7222</v>
      </c>
      <c r="E728" s="111">
        <v>33.747</v>
      </c>
    </row>
    <row r="729" spans="1:5" ht="14.25">
      <c r="A729" s="134">
        <v>36914</v>
      </c>
      <c r="B729" s="111">
        <v>48.2278</v>
      </c>
      <c r="C729" s="111">
        <f t="shared" si="12"/>
        <v>0.0482278</v>
      </c>
      <c r="D729" s="111">
        <v>29.2071</v>
      </c>
      <c r="E729" s="111">
        <v>31.7393</v>
      </c>
    </row>
    <row r="730" spans="1:5" ht="14.25">
      <c r="A730" s="134">
        <v>36915</v>
      </c>
      <c r="B730" s="111">
        <v>44.8847</v>
      </c>
      <c r="C730" s="111">
        <f t="shared" si="12"/>
        <v>0.04488470000000001</v>
      </c>
      <c r="D730" s="111">
        <v>27.5679</v>
      </c>
      <c r="E730" s="111">
        <v>39.3058</v>
      </c>
    </row>
    <row r="731" spans="1:5" ht="14.25">
      <c r="A731" s="134">
        <v>36916</v>
      </c>
      <c r="B731" s="111">
        <v>43.6155</v>
      </c>
      <c r="C731" s="111">
        <f t="shared" si="12"/>
        <v>0.0436155</v>
      </c>
      <c r="D731" s="111">
        <v>26.4545</v>
      </c>
      <c r="E731" s="111">
        <v>28.4641</v>
      </c>
    </row>
    <row r="732" spans="1:5" ht="14.25">
      <c r="A732" s="134">
        <v>36917</v>
      </c>
      <c r="B732" s="111">
        <v>44.4475</v>
      </c>
      <c r="C732" s="111">
        <f t="shared" si="12"/>
        <v>0.0444475</v>
      </c>
      <c r="D732" s="111">
        <v>26.6621</v>
      </c>
      <c r="E732" s="111">
        <v>29.1516</v>
      </c>
    </row>
    <row r="733" spans="1:5" ht="14.25">
      <c r="A733" s="134">
        <v>36920</v>
      </c>
      <c r="B733" s="111">
        <v>47.774</v>
      </c>
      <c r="C733" s="111">
        <f t="shared" si="12"/>
        <v>0.047774000000000004</v>
      </c>
      <c r="D733" s="111">
        <v>28.8558</v>
      </c>
      <c r="E733" s="111">
        <v>31.2698</v>
      </c>
    </row>
    <row r="734" spans="1:5" ht="14.25">
      <c r="A734" s="134">
        <v>36921</v>
      </c>
      <c r="B734" s="111">
        <v>49.3336</v>
      </c>
      <c r="C734" s="111">
        <f t="shared" si="12"/>
        <v>0.0493336</v>
      </c>
      <c r="D734" s="111">
        <v>29.7822</v>
      </c>
      <c r="E734" s="111">
        <v>32.3967</v>
      </c>
    </row>
    <row r="735" spans="1:5" ht="14.25">
      <c r="A735" s="134">
        <v>36922</v>
      </c>
      <c r="B735" s="111">
        <v>48.2483</v>
      </c>
      <c r="C735" s="111">
        <f t="shared" si="12"/>
        <v>0.0482483</v>
      </c>
      <c r="D735" s="111">
        <v>29.1857</v>
      </c>
      <c r="E735" s="111">
        <v>31.7339</v>
      </c>
    </row>
    <row r="736" spans="1:5" ht="14.25">
      <c r="A736" s="134">
        <v>36923</v>
      </c>
      <c r="B736" s="111">
        <v>49.108</v>
      </c>
      <c r="C736" s="111">
        <f t="shared" si="12"/>
        <v>0.049108</v>
      </c>
      <c r="D736" s="111">
        <v>29.8236</v>
      </c>
      <c r="E736" s="111">
        <v>32.0925</v>
      </c>
    </row>
    <row r="737" spans="1:5" ht="14.25">
      <c r="A737" s="134">
        <v>36924</v>
      </c>
      <c r="B737" s="111">
        <v>48.5635</v>
      </c>
      <c r="C737" s="111">
        <f t="shared" si="12"/>
        <v>0.048563499999999996</v>
      </c>
      <c r="D737" s="111">
        <v>29.8029</v>
      </c>
      <c r="E737" s="111">
        <v>31.6849</v>
      </c>
    </row>
    <row r="738" spans="1:5" ht="14.25">
      <c r="A738" s="134">
        <v>36927</v>
      </c>
      <c r="B738" s="111">
        <v>46.9918</v>
      </c>
      <c r="C738" s="111">
        <f t="shared" si="12"/>
        <v>0.0469918</v>
      </c>
      <c r="D738" s="111">
        <v>28.7476</v>
      </c>
      <c r="E738" s="111">
        <v>30.5598</v>
      </c>
    </row>
    <row r="739" spans="1:5" ht="14.25">
      <c r="A739" s="134">
        <v>36928</v>
      </c>
      <c r="B739" s="111">
        <v>44.3579</v>
      </c>
      <c r="C739" s="111">
        <f t="shared" si="12"/>
        <v>0.0443579</v>
      </c>
      <c r="D739" s="111">
        <v>27.1776</v>
      </c>
      <c r="E739" s="111">
        <v>28.8357</v>
      </c>
    </row>
    <row r="740" spans="1:5" ht="14.25">
      <c r="A740" s="134">
        <v>36929</v>
      </c>
      <c r="B740" s="111">
        <v>42.8433</v>
      </c>
      <c r="C740" s="111">
        <f t="shared" si="12"/>
        <v>0.0428433</v>
      </c>
      <c r="D740" s="111">
        <v>25.9594</v>
      </c>
      <c r="E740" s="111">
        <v>27.8474</v>
      </c>
    </row>
    <row r="741" spans="1:5" ht="14.25">
      <c r="A741" s="134">
        <v>36930</v>
      </c>
      <c r="B741" s="111">
        <v>42.69</v>
      </c>
      <c r="C741" s="111">
        <f t="shared" si="12"/>
        <v>0.04269</v>
      </c>
      <c r="D741" s="111">
        <v>25.8631</v>
      </c>
      <c r="E741" s="111">
        <v>27.7352</v>
      </c>
    </row>
    <row r="742" spans="1:5" ht="14.25">
      <c r="A742" s="134">
        <v>36931</v>
      </c>
      <c r="B742" s="111">
        <v>41.3011</v>
      </c>
      <c r="C742" s="111">
        <f t="shared" si="12"/>
        <v>0.0413011</v>
      </c>
      <c r="D742" s="111">
        <v>24.8691</v>
      </c>
      <c r="E742" s="111">
        <v>26.973</v>
      </c>
    </row>
    <row r="743" spans="1:5" ht="14.25">
      <c r="A743" s="134">
        <v>36934</v>
      </c>
      <c r="B743" s="111">
        <v>39.568</v>
      </c>
      <c r="C743" s="111">
        <f t="shared" si="12"/>
        <v>0.039568</v>
      </c>
      <c r="D743" s="111">
        <v>23.7877</v>
      </c>
      <c r="E743" s="111">
        <v>25.7806</v>
      </c>
    </row>
    <row r="744" spans="1:5" ht="14.25">
      <c r="A744" s="134">
        <v>36935</v>
      </c>
      <c r="B744" s="111">
        <v>35.5442</v>
      </c>
      <c r="C744" s="111">
        <f t="shared" si="12"/>
        <v>0.0355442</v>
      </c>
      <c r="D744" s="111">
        <v>21.4805</v>
      </c>
      <c r="E744" s="111">
        <v>23.1272</v>
      </c>
    </row>
    <row r="745" spans="1:5" ht="14.25">
      <c r="A745" s="134">
        <v>36936</v>
      </c>
      <c r="B745" s="111">
        <v>37.7088</v>
      </c>
      <c r="C745" s="111">
        <f t="shared" si="12"/>
        <v>0.0377088</v>
      </c>
      <c r="D745" s="111">
        <v>22.7523</v>
      </c>
      <c r="E745" s="111">
        <v>24.5308</v>
      </c>
    </row>
    <row r="746" spans="1:5" ht="14.25">
      <c r="A746" s="134">
        <v>36937</v>
      </c>
      <c r="B746" s="111">
        <v>41.2513</v>
      </c>
      <c r="C746" s="111">
        <f t="shared" si="12"/>
        <v>0.041251300000000005</v>
      </c>
      <c r="D746" s="111">
        <v>24.6568</v>
      </c>
      <c r="E746" s="111">
        <v>26.8651</v>
      </c>
    </row>
    <row r="747" spans="1:5" ht="14.25">
      <c r="A747" s="134">
        <v>36938</v>
      </c>
      <c r="B747" s="111">
        <v>41.5274</v>
      </c>
      <c r="C747" s="111">
        <f t="shared" si="12"/>
        <v>0.0415274</v>
      </c>
      <c r="D747" s="111">
        <v>24.648</v>
      </c>
      <c r="E747" s="111">
        <v>27.1155</v>
      </c>
    </row>
    <row r="748" spans="1:5" ht="14.25">
      <c r="A748" s="134">
        <v>36941</v>
      </c>
      <c r="B748" s="111">
        <v>40.414</v>
      </c>
      <c r="C748" s="111">
        <f t="shared" si="12"/>
        <v>0.040414000000000005</v>
      </c>
      <c r="D748" s="111">
        <v>23.9618</v>
      </c>
      <c r="E748" s="111">
        <v>26.2941</v>
      </c>
    </row>
    <row r="749" spans="1:5" ht="14.25">
      <c r="A749" s="134">
        <v>36942</v>
      </c>
      <c r="B749" s="111">
        <v>41.0804</v>
      </c>
      <c r="C749" s="111">
        <f t="shared" si="12"/>
        <v>0.041080399999999996</v>
      </c>
      <c r="D749" s="111">
        <v>24.637</v>
      </c>
      <c r="E749" s="111">
        <v>26.7416</v>
      </c>
    </row>
    <row r="750" spans="1:5" ht="14.25">
      <c r="A750" s="134">
        <v>36943</v>
      </c>
      <c r="B750" s="111">
        <v>40.806</v>
      </c>
      <c r="C750" s="111">
        <f t="shared" si="12"/>
        <v>0.040805999999999995</v>
      </c>
      <c r="D750" s="111">
        <v>24.1098</v>
      </c>
      <c r="E750" s="111">
        <v>26.582</v>
      </c>
    </row>
    <row r="751" spans="1:5" ht="14.25">
      <c r="A751" s="134">
        <v>36944</v>
      </c>
      <c r="B751" s="111">
        <v>40.8569</v>
      </c>
      <c r="C751" s="111">
        <f t="shared" si="12"/>
        <v>0.0408569</v>
      </c>
      <c r="D751" s="111">
        <v>24.3264</v>
      </c>
      <c r="E751" s="111">
        <v>26.5978</v>
      </c>
    </row>
    <row r="752" spans="1:5" ht="14.25">
      <c r="A752" s="134">
        <v>36945</v>
      </c>
      <c r="B752" s="111">
        <v>42.0772</v>
      </c>
      <c r="C752" s="111">
        <f t="shared" si="12"/>
        <v>0.042077199999999995</v>
      </c>
      <c r="D752" s="111">
        <v>24.8777</v>
      </c>
      <c r="E752" s="111">
        <v>27.4709</v>
      </c>
    </row>
    <row r="753" spans="1:5" ht="14.25">
      <c r="A753" s="134">
        <v>36948</v>
      </c>
      <c r="B753" s="111">
        <v>42.1596</v>
      </c>
      <c r="C753" s="111">
        <f t="shared" si="12"/>
        <v>0.0421596</v>
      </c>
      <c r="D753" s="111">
        <v>24.9207</v>
      </c>
      <c r="E753" s="111">
        <v>27.4942</v>
      </c>
    </row>
    <row r="754" spans="1:5" ht="14.25">
      <c r="A754" s="134">
        <v>36949</v>
      </c>
      <c r="B754" s="111">
        <v>48.2308</v>
      </c>
      <c r="C754" s="111">
        <f t="shared" si="12"/>
        <v>0.048230800000000004</v>
      </c>
      <c r="D754" s="111">
        <v>28.6328</v>
      </c>
      <c r="E754" s="111">
        <v>31.4474</v>
      </c>
    </row>
    <row r="755" spans="1:5" ht="14.25">
      <c r="A755" s="134">
        <v>36950</v>
      </c>
      <c r="B755" s="111">
        <v>52.7521</v>
      </c>
      <c r="C755" s="111">
        <f t="shared" si="12"/>
        <v>0.0527521</v>
      </c>
      <c r="D755" s="111">
        <v>31.4529</v>
      </c>
      <c r="E755" s="111">
        <v>34.326</v>
      </c>
    </row>
    <row r="756" spans="1:5" ht="14.25">
      <c r="A756" s="134">
        <v>36951</v>
      </c>
      <c r="B756" s="111">
        <v>54.6326</v>
      </c>
      <c r="C756" s="111">
        <f t="shared" si="12"/>
        <v>0.054632599999999996</v>
      </c>
      <c r="D756" s="111">
        <v>32.7739</v>
      </c>
      <c r="E756" s="111">
        <v>35.4389</v>
      </c>
    </row>
    <row r="757" spans="1:5" ht="14.25">
      <c r="A757" s="134">
        <v>36955</v>
      </c>
      <c r="B757" s="111">
        <v>53.7814</v>
      </c>
      <c r="C757" s="111">
        <f t="shared" si="12"/>
        <v>0.0537814</v>
      </c>
      <c r="D757" s="111">
        <v>30.1368</v>
      </c>
      <c r="E757" s="111">
        <v>32.5135</v>
      </c>
    </row>
    <row r="758" spans="1:5" ht="14.25">
      <c r="A758" s="134">
        <v>36956</v>
      </c>
      <c r="B758" s="111">
        <v>48.6672</v>
      </c>
      <c r="C758" s="111">
        <f t="shared" si="12"/>
        <v>0.0486672</v>
      </c>
      <c r="D758" s="111">
        <v>32.743</v>
      </c>
      <c r="E758" s="111">
        <v>34.9706</v>
      </c>
    </row>
    <row r="759" spans="1:5" ht="14.25">
      <c r="A759" s="134">
        <v>36957</v>
      </c>
      <c r="B759" s="111">
        <v>50.3267</v>
      </c>
      <c r="C759" s="111">
        <f t="shared" si="12"/>
        <v>0.0503267</v>
      </c>
      <c r="D759" s="111">
        <v>29.4517</v>
      </c>
      <c r="E759" s="111">
        <v>31.6514</v>
      </c>
    </row>
    <row r="760" spans="1:5" ht="14.25">
      <c r="A760" s="134">
        <v>36958</v>
      </c>
      <c r="B760" s="111">
        <v>47.2109</v>
      </c>
      <c r="C760" s="111">
        <f t="shared" si="12"/>
        <v>0.0472109</v>
      </c>
      <c r="D760" s="111">
        <v>30.3767</v>
      </c>
      <c r="E760" s="111">
        <v>32.7371</v>
      </c>
    </row>
    <row r="761" spans="1:5" ht="14.25">
      <c r="A761" s="134">
        <v>36959</v>
      </c>
      <c r="B761" s="111">
        <v>43.6534</v>
      </c>
      <c r="C761" s="111">
        <f t="shared" si="12"/>
        <v>0.0436534</v>
      </c>
      <c r="D761" s="111">
        <v>28.5839</v>
      </c>
      <c r="E761" s="111">
        <v>30.7123</v>
      </c>
    </row>
    <row r="762" spans="1:5" ht="14.25">
      <c r="A762" s="134">
        <v>36962</v>
      </c>
      <c r="B762" s="111">
        <v>41.9267</v>
      </c>
      <c r="C762" s="111">
        <f t="shared" si="12"/>
        <v>0.0419267</v>
      </c>
      <c r="D762" s="111">
        <v>26.3653</v>
      </c>
      <c r="E762" s="111">
        <v>28.3133</v>
      </c>
    </row>
    <row r="763" spans="1:5" ht="14.25">
      <c r="A763" s="134">
        <v>36963</v>
      </c>
      <c r="B763" s="111">
        <v>41.8386</v>
      </c>
      <c r="C763" s="111">
        <f t="shared" si="12"/>
        <v>0.041838600000000004</v>
      </c>
      <c r="D763" s="111">
        <v>25.4234</v>
      </c>
      <c r="E763" s="111">
        <v>27.1705</v>
      </c>
    </row>
    <row r="764" spans="1:5" ht="14.25">
      <c r="A764" s="134">
        <v>36964</v>
      </c>
      <c r="B764" s="111">
        <v>37.5359</v>
      </c>
      <c r="C764" s="111">
        <f t="shared" si="12"/>
        <v>0.0375359</v>
      </c>
      <c r="D764" s="111">
        <v>25.1689</v>
      </c>
      <c r="E764" s="111">
        <v>27.145</v>
      </c>
    </row>
    <row r="765" spans="1:5" ht="14.25">
      <c r="A765" s="134">
        <v>36965</v>
      </c>
      <c r="B765" s="111">
        <v>38.0909</v>
      </c>
      <c r="C765" s="111">
        <f t="shared" si="12"/>
        <v>0.0380909</v>
      </c>
      <c r="D765" s="111">
        <v>22.4669</v>
      </c>
      <c r="E765" s="111">
        <v>24.4152</v>
      </c>
    </row>
    <row r="766" spans="1:5" ht="14.25">
      <c r="A766" s="134">
        <v>36966</v>
      </c>
      <c r="B766" s="111">
        <v>38.5726</v>
      </c>
      <c r="C766" s="111">
        <f t="shared" si="12"/>
        <v>0.038572600000000005</v>
      </c>
      <c r="D766" s="111">
        <v>22.7687</v>
      </c>
      <c r="E766" s="111">
        <v>24.7971</v>
      </c>
    </row>
    <row r="767" spans="1:5" ht="14.25">
      <c r="A767" s="134">
        <v>36969</v>
      </c>
      <c r="B767" s="111">
        <v>38.7215</v>
      </c>
      <c r="C767" s="111">
        <f t="shared" si="12"/>
        <v>0.0387215</v>
      </c>
      <c r="D767" s="111">
        <v>22.7219</v>
      </c>
      <c r="E767" s="111">
        <v>25.0683</v>
      </c>
    </row>
    <row r="768" spans="1:5" ht="14.25">
      <c r="A768" s="134">
        <v>36970</v>
      </c>
      <c r="B768" s="111">
        <v>38.3011</v>
      </c>
      <c r="C768" s="111">
        <f t="shared" si="12"/>
        <v>0.0383011</v>
      </c>
      <c r="D768" s="111">
        <v>22.5445</v>
      </c>
      <c r="E768" s="111">
        <v>25.1979</v>
      </c>
    </row>
    <row r="769" spans="1:5" ht="14.25">
      <c r="A769" s="134">
        <v>36971</v>
      </c>
      <c r="B769" s="111">
        <v>37.8943</v>
      </c>
      <c r="C769" s="111">
        <f t="shared" si="12"/>
        <v>0.0378943</v>
      </c>
      <c r="D769" s="111">
        <v>22.4408</v>
      </c>
      <c r="E769" s="111">
        <v>24.9453</v>
      </c>
    </row>
    <row r="770" spans="1:5" ht="14.25">
      <c r="A770" s="134">
        <v>36972</v>
      </c>
      <c r="B770" s="111">
        <v>37.2593</v>
      </c>
      <c r="C770" s="111">
        <f t="shared" si="12"/>
        <v>0.0372593</v>
      </c>
      <c r="D770" s="111">
        <v>22.3141</v>
      </c>
      <c r="E770" s="111">
        <v>24.7384</v>
      </c>
    </row>
    <row r="771" spans="1:5" ht="14.25">
      <c r="A771" s="134">
        <v>36973</v>
      </c>
      <c r="B771" s="111">
        <v>35.7991</v>
      </c>
      <c r="C771" s="111">
        <f aca="true" t="shared" si="13" ref="C771:C834">B771*10^-3</f>
        <v>0.0357991</v>
      </c>
      <c r="D771" s="111">
        <v>21.8386</v>
      </c>
      <c r="E771" s="111">
        <v>24.2921</v>
      </c>
    </row>
    <row r="772" spans="1:5" ht="14.25">
      <c r="A772" s="134">
        <v>36976</v>
      </c>
      <c r="B772" s="111">
        <v>34.7538</v>
      </c>
      <c r="C772" s="111">
        <f t="shared" si="13"/>
        <v>0.0347538</v>
      </c>
      <c r="D772" s="111">
        <v>20.8217</v>
      </c>
      <c r="E772" s="111">
        <v>23.4241</v>
      </c>
    </row>
    <row r="773" spans="1:5" ht="14.25">
      <c r="A773" s="134">
        <v>36977</v>
      </c>
      <c r="B773" s="111">
        <v>36.9401</v>
      </c>
      <c r="C773" s="111">
        <f t="shared" si="13"/>
        <v>0.036940100000000003</v>
      </c>
      <c r="D773" s="111">
        <v>20.2411</v>
      </c>
      <c r="E773" s="111">
        <v>22.6867</v>
      </c>
    </row>
    <row r="774" spans="1:5" ht="14.25">
      <c r="A774" s="134">
        <v>36978</v>
      </c>
      <c r="B774" s="111">
        <v>35.9363</v>
      </c>
      <c r="C774" s="111">
        <f t="shared" si="13"/>
        <v>0.035936300000000004</v>
      </c>
      <c r="D774" s="111">
        <v>21.5331</v>
      </c>
      <c r="E774" s="111">
        <v>24.0998</v>
      </c>
    </row>
    <row r="775" spans="1:5" ht="14.25">
      <c r="A775" s="134">
        <v>36979</v>
      </c>
      <c r="B775" s="111">
        <v>37.9795</v>
      </c>
      <c r="C775" s="111">
        <f t="shared" si="13"/>
        <v>0.0379795</v>
      </c>
      <c r="D775" s="111">
        <v>20.9619</v>
      </c>
      <c r="E775" s="111">
        <v>23.4158</v>
      </c>
    </row>
    <row r="776" spans="1:5" ht="14.25">
      <c r="A776" s="134">
        <v>36980</v>
      </c>
      <c r="B776" s="111">
        <v>36.5977</v>
      </c>
      <c r="C776" s="111">
        <f t="shared" si="13"/>
        <v>0.036597700000000004</v>
      </c>
      <c r="D776" s="111">
        <v>21.9876</v>
      </c>
      <c r="E776" s="111">
        <v>24.8167</v>
      </c>
    </row>
    <row r="777" spans="1:5" ht="14.25">
      <c r="A777" s="134">
        <v>36983</v>
      </c>
      <c r="B777" s="111">
        <v>41.7575</v>
      </c>
      <c r="C777" s="111">
        <f t="shared" si="13"/>
        <v>0.0417575</v>
      </c>
      <c r="D777" s="111">
        <v>21.1758</v>
      </c>
      <c r="E777" s="111">
        <v>23.9545</v>
      </c>
    </row>
    <row r="778" spans="1:5" ht="14.25">
      <c r="A778" s="134">
        <v>36984</v>
      </c>
      <c r="B778" s="111">
        <v>42.2957</v>
      </c>
      <c r="C778" s="111">
        <f t="shared" si="13"/>
        <v>0.0422957</v>
      </c>
      <c r="D778" s="111">
        <v>24.1505</v>
      </c>
      <c r="E778" s="111">
        <v>27.3443</v>
      </c>
    </row>
    <row r="779" spans="1:5" ht="14.25">
      <c r="A779" s="134">
        <v>36985</v>
      </c>
      <c r="B779" s="111">
        <v>42.8565</v>
      </c>
      <c r="C779" s="111">
        <f t="shared" si="13"/>
        <v>0.0428565</v>
      </c>
      <c r="D779" s="111">
        <v>24.3067</v>
      </c>
      <c r="E779" s="111">
        <v>27.7095</v>
      </c>
    </row>
    <row r="780" spans="1:5" ht="14.25">
      <c r="A780" s="134">
        <v>36986</v>
      </c>
      <c r="B780" s="111">
        <v>41.1127</v>
      </c>
      <c r="C780" s="111">
        <f t="shared" si="13"/>
        <v>0.041112699999999995</v>
      </c>
      <c r="D780" s="111">
        <v>24.8209</v>
      </c>
      <c r="E780" s="111">
        <v>28.0621</v>
      </c>
    </row>
    <row r="781" spans="1:5" ht="14.25">
      <c r="A781" s="134">
        <v>36987</v>
      </c>
      <c r="B781" s="111">
        <v>40.5506</v>
      </c>
      <c r="C781" s="111">
        <f t="shared" si="13"/>
        <v>0.040550600000000006</v>
      </c>
      <c r="D781" s="111">
        <v>24.3272</v>
      </c>
      <c r="E781" s="111">
        <v>26.9344</v>
      </c>
    </row>
    <row r="782" spans="1:5" ht="14.25">
      <c r="A782" s="134">
        <v>36990</v>
      </c>
      <c r="B782" s="111">
        <v>40.0943</v>
      </c>
      <c r="C782" s="111">
        <f t="shared" si="13"/>
        <v>0.0400943</v>
      </c>
      <c r="D782" s="111">
        <v>23.9204</v>
      </c>
      <c r="E782" s="111">
        <v>26.5193</v>
      </c>
    </row>
    <row r="783" spans="1:5" ht="14.25">
      <c r="A783" s="134">
        <v>36991</v>
      </c>
      <c r="B783" s="111">
        <v>40.7538</v>
      </c>
      <c r="C783" s="111">
        <f t="shared" si="13"/>
        <v>0.0407538</v>
      </c>
      <c r="D783" s="111">
        <v>23.4644</v>
      </c>
      <c r="E783" s="111">
        <v>26.2466</v>
      </c>
    </row>
    <row r="784" spans="1:5" ht="14.25">
      <c r="A784" s="134">
        <v>36992</v>
      </c>
      <c r="B784" s="111">
        <v>43.1344</v>
      </c>
      <c r="C784" s="111">
        <f t="shared" si="13"/>
        <v>0.0431344</v>
      </c>
      <c r="D784" s="111">
        <v>24.0317</v>
      </c>
      <c r="E784" s="111">
        <v>26.6486</v>
      </c>
    </row>
    <row r="785" spans="1:5" ht="14.25">
      <c r="A785" s="134">
        <v>36992</v>
      </c>
      <c r="B785" s="111">
        <v>43.1344</v>
      </c>
      <c r="C785" s="111">
        <f t="shared" si="13"/>
        <v>0.0431344</v>
      </c>
      <c r="D785" s="111">
        <v>25.2594</v>
      </c>
      <c r="E785" s="111">
        <v>28.2386</v>
      </c>
    </row>
    <row r="786" spans="1:5" ht="14.25">
      <c r="A786" s="134">
        <v>36993</v>
      </c>
      <c r="B786" s="111">
        <v>43.0181</v>
      </c>
      <c r="C786" s="111">
        <f t="shared" si="13"/>
        <v>0.0430181</v>
      </c>
      <c r="D786" s="111">
        <v>24.979</v>
      </c>
      <c r="E786" s="111">
        <v>28.2568</v>
      </c>
    </row>
    <row r="787" spans="1:5" ht="14.25">
      <c r="A787" s="134">
        <v>36998</v>
      </c>
      <c r="B787" s="111">
        <v>41.2581</v>
      </c>
      <c r="C787" s="111">
        <f t="shared" si="13"/>
        <v>0.0412581</v>
      </c>
      <c r="D787" s="111">
        <v>24.0446</v>
      </c>
      <c r="E787" s="111">
        <v>27.1721</v>
      </c>
    </row>
    <row r="788" spans="1:5" ht="14.25">
      <c r="A788" s="134">
        <v>36999</v>
      </c>
      <c r="B788" s="111">
        <v>48.0626</v>
      </c>
      <c r="C788" s="111">
        <f t="shared" si="13"/>
        <v>0.048062600000000004</v>
      </c>
      <c r="D788" s="111">
        <v>27.7516</v>
      </c>
      <c r="E788" s="111">
        <v>31.5682</v>
      </c>
    </row>
    <row r="789" spans="1:5" ht="14.25">
      <c r="A789" s="134">
        <v>37000</v>
      </c>
      <c r="B789" s="111">
        <v>50.8272</v>
      </c>
      <c r="C789" s="111">
        <f t="shared" si="13"/>
        <v>0.050827199999999996</v>
      </c>
      <c r="D789" s="111">
        <v>29.1895</v>
      </c>
      <c r="E789" s="111">
        <v>33.253</v>
      </c>
    </row>
    <row r="790" spans="1:5" ht="14.25">
      <c r="A790" s="134">
        <v>37001</v>
      </c>
      <c r="B790" s="111">
        <v>63.5736</v>
      </c>
      <c r="C790" s="111">
        <f t="shared" si="13"/>
        <v>0.0635736</v>
      </c>
      <c r="D790" s="111">
        <v>36.7014</v>
      </c>
      <c r="E790" s="111">
        <v>41.5786</v>
      </c>
    </row>
    <row r="791" spans="1:5" ht="14.25">
      <c r="A791" s="134">
        <v>37004</v>
      </c>
      <c r="B791" s="111">
        <v>57.7682</v>
      </c>
      <c r="C791" s="111">
        <f t="shared" si="13"/>
        <v>0.0577682</v>
      </c>
      <c r="D791" s="111">
        <v>33.9154</v>
      </c>
      <c r="E791" s="111">
        <v>37.7299</v>
      </c>
    </row>
    <row r="792" spans="1:5" ht="14.25">
      <c r="A792" s="134">
        <v>37005</v>
      </c>
      <c r="B792" s="111">
        <v>52.4869</v>
      </c>
      <c r="C792" s="111">
        <f t="shared" si="13"/>
        <v>0.0524869</v>
      </c>
      <c r="D792" s="111">
        <v>30.8593</v>
      </c>
      <c r="E792" s="111">
        <v>34.2805</v>
      </c>
    </row>
    <row r="793" spans="1:5" ht="14.25">
      <c r="A793" s="134">
        <v>37006</v>
      </c>
      <c r="B793" s="111">
        <v>54.4038</v>
      </c>
      <c r="C793" s="111">
        <f t="shared" si="13"/>
        <v>0.054403799999999995</v>
      </c>
      <c r="D793" s="111">
        <v>31.9438</v>
      </c>
      <c r="E793" s="111">
        <v>35.5999</v>
      </c>
    </row>
    <row r="794" spans="1:5" ht="14.25">
      <c r="A794" s="134">
        <v>37007</v>
      </c>
      <c r="B794" s="111">
        <v>57.5658</v>
      </c>
      <c r="C794" s="111">
        <f t="shared" si="13"/>
        <v>0.05756580000000001</v>
      </c>
      <c r="D794" s="111">
        <v>33.6189</v>
      </c>
      <c r="E794" s="111">
        <v>37.5756</v>
      </c>
    </row>
    <row r="795" spans="1:5" ht="14.25">
      <c r="A795" s="134">
        <v>37008</v>
      </c>
      <c r="B795" s="111">
        <v>51.6789</v>
      </c>
      <c r="C795" s="111">
        <f t="shared" si="13"/>
        <v>0.0516789</v>
      </c>
      <c r="D795" s="111">
        <v>30.3758</v>
      </c>
      <c r="E795" s="111">
        <v>33.7022</v>
      </c>
    </row>
    <row r="796" spans="1:5" ht="14.25">
      <c r="A796" s="134">
        <v>37011</v>
      </c>
      <c r="B796" s="111">
        <v>41.2514</v>
      </c>
      <c r="C796" s="111">
        <f t="shared" si="13"/>
        <v>0.0412514</v>
      </c>
      <c r="D796" s="111">
        <v>24.2042</v>
      </c>
      <c r="E796" s="111">
        <v>26.825</v>
      </c>
    </row>
    <row r="797" spans="1:5" ht="14.25">
      <c r="A797" s="134">
        <v>37012</v>
      </c>
      <c r="B797" s="111">
        <v>32.996</v>
      </c>
      <c r="C797" s="111">
        <f t="shared" si="13"/>
        <v>0.032996000000000004</v>
      </c>
      <c r="D797" s="111">
        <v>19.0598</v>
      </c>
      <c r="E797" s="111">
        <v>21.4734</v>
      </c>
    </row>
    <row r="798" spans="1:5" ht="14.25">
      <c r="A798" s="134">
        <v>37013</v>
      </c>
      <c r="B798" s="111">
        <v>48.029</v>
      </c>
      <c r="C798" s="111">
        <f t="shared" si="13"/>
        <v>0.048029</v>
      </c>
      <c r="D798" s="111">
        <v>27.7434</v>
      </c>
      <c r="E798" s="111">
        <v>31.2567</v>
      </c>
    </row>
    <row r="799" spans="1:5" ht="14.25">
      <c r="A799" s="134">
        <v>37014</v>
      </c>
      <c r="B799" s="111">
        <v>48.3686</v>
      </c>
      <c r="C799" s="111">
        <f t="shared" si="13"/>
        <v>0.048368600000000005</v>
      </c>
      <c r="D799" s="111">
        <v>27.9662</v>
      </c>
      <c r="E799" s="111">
        <v>31.3756</v>
      </c>
    </row>
    <row r="800" spans="1:5" ht="14.25">
      <c r="A800" s="134">
        <v>37015</v>
      </c>
      <c r="B800" s="111">
        <v>46.5292</v>
      </c>
      <c r="C800" s="111">
        <f t="shared" si="13"/>
        <v>0.04652920000000001</v>
      </c>
      <c r="D800" s="111">
        <v>26.8662</v>
      </c>
      <c r="E800" s="111">
        <v>30.1765</v>
      </c>
    </row>
    <row r="801" spans="1:5" ht="14.25">
      <c r="A801" s="134">
        <v>37018</v>
      </c>
      <c r="B801" s="111">
        <v>46.2461</v>
      </c>
      <c r="C801" s="111">
        <f t="shared" si="13"/>
        <v>0.0462461</v>
      </c>
      <c r="D801" s="111">
        <v>26.7846</v>
      </c>
      <c r="E801" s="111">
        <v>29.9638</v>
      </c>
    </row>
    <row r="802" spans="1:5" ht="14.25">
      <c r="A802" s="134">
        <v>37019</v>
      </c>
      <c r="B802" s="111">
        <v>49.0854</v>
      </c>
      <c r="C802" s="111">
        <f t="shared" si="13"/>
        <v>0.0490854</v>
      </c>
      <c r="D802" s="111">
        <v>28.3691</v>
      </c>
      <c r="E802" s="111">
        <v>31.8075</v>
      </c>
    </row>
    <row r="803" spans="1:5" ht="14.25">
      <c r="A803" s="134">
        <v>37020</v>
      </c>
      <c r="B803" s="111">
        <v>46.9034</v>
      </c>
      <c r="C803" s="111">
        <f t="shared" si="13"/>
        <v>0.0469034</v>
      </c>
      <c r="D803" s="111">
        <v>26.9697</v>
      </c>
      <c r="E803" s="111">
        <v>30.4192</v>
      </c>
    </row>
    <row r="804" spans="1:5" ht="14.25">
      <c r="A804" s="134">
        <v>37021</v>
      </c>
      <c r="B804" s="111">
        <v>43.8017</v>
      </c>
      <c r="C804" s="111">
        <f t="shared" si="13"/>
        <v>0.0438017</v>
      </c>
      <c r="D804" s="111">
        <v>25.1047</v>
      </c>
      <c r="E804" s="111">
        <v>28.4408</v>
      </c>
    </row>
    <row r="805" spans="1:256" s="123" customFormat="1" ht="14.25">
      <c r="A805" s="134">
        <v>37022</v>
      </c>
      <c r="B805" s="111">
        <v>41.354</v>
      </c>
      <c r="C805" s="111">
        <f t="shared" si="13"/>
        <v>0.041354</v>
      </c>
      <c r="D805" s="111">
        <v>23.7589</v>
      </c>
      <c r="E805" s="111">
        <v>26.8462</v>
      </c>
      <c r="F805" s="131"/>
      <c r="G805" s="109"/>
      <c r="H805" s="109"/>
      <c r="I805" s="109"/>
      <c r="J805" s="109"/>
      <c r="K805" s="110"/>
      <c r="L805" s="109"/>
      <c r="M805" s="111"/>
      <c r="N805" s="109"/>
      <c r="O805" s="109"/>
      <c r="P805" s="110"/>
      <c r="Q805" s="109"/>
      <c r="R805" s="111"/>
      <c r="S805" s="109"/>
      <c r="T805" s="109"/>
      <c r="U805" s="110"/>
      <c r="V805" s="109"/>
      <c r="W805" s="111"/>
      <c r="X805" s="109"/>
      <c r="Y805" s="109"/>
      <c r="Z805" s="110"/>
      <c r="AA805" s="109"/>
      <c r="AB805" s="111"/>
      <c r="AC805" s="109"/>
      <c r="AD805" s="109"/>
      <c r="AE805" s="110"/>
      <c r="AF805" s="109"/>
      <c r="AG805" s="111"/>
      <c r="AH805" s="109"/>
      <c r="AI805" s="109"/>
      <c r="AJ805" s="110"/>
      <c r="AK805" s="109"/>
      <c r="AL805" s="111"/>
      <c r="AM805" s="109"/>
      <c r="AN805" s="109"/>
      <c r="AO805" s="110"/>
      <c r="AP805" s="109"/>
      <c r="AQ805" s="111"/>
      <c r="AR805" s="109"/>
      <c r="AS805" s="109"/>
      <c r="AT805" s="110"/>
      <c r="AU805" s="109"/>
      <c r="AV805" s="111"/>
      <c r="AW805" s="109"/>
      <c r="AX805" s="109"/>
      <c r="AY805" s="110"/>
      <c r="AZ805" s="109"/>
      <c r="BA805" s="111"/>
      <c r="BB805" s="109"/>
      <c r="BC805" s="109"/>
      <c r="BD805" s="110"/>
      <c r="BE805" s="109"/>
      <c r="BF805" s="111"/>
      <c r="BG805" s="109"/>
      <c r="BH805" s="109"/>
      <c r="BI805" s="110"/>
      <c r="BJ805" s="109"/>
      <c r="BK805" s="111"/>
      <c r="BL805" s="109"/>
      <c r="BM805" s="109"/>
      <c r="BN805" s="110"/>
      <c r="BO805" s="109"/>
      <c r="BP805" s="111"/>
      <c r="BQ805" s="109"/>
      <c r="BR805" s="109"/>
      <c r="BS805" s="110"/>
      <c r="BT805" s="109"/>
      <c r="BU805" s="111"/>
      <c r="BV805" s="109"/>
      <c r="BW805" s="109"/>
      <c r="BX805" s="110"/>
      <c r="BY805" s="109"/>
      <c r="BZ805" s="111"/>
      <c r="CA805" s="109"/>
      <c r="CB805" s="109"/>
      <c r="CC805" s="110"/>
      <c r="CD805" s="109"/>
      <c r="CE805" s="111"/>
      <c r="CF805" s="109"/>
      <c r="CG805" s="109"/>
      <c r="CH805" s="110"/>
      <c r="CI805" s="109"/>
      <c r="CJ805" s="111"/>
      <c r="CK805" s="109"/>
      <c r="CL805" s="109"/>
      <c r="CM805" s="110"/>
      <c r="CN805" s="109"/>
      <c r="CO805" s="111"/>
      <c r="CP805" s="109"/>
      <c r="CQ805" s="109"/>
      <c r="CR805" s="110"/>
      <c r="CS805" s="109"/>
      <c r="CT805" s="111"/>
      <c r="CU805" s="109"/>
      <c r="CV805" s="109"/>
      <c r="CW805" s="110"/>
      <c r="CX805" s="109"/>
      <c r="CY805" s="111"/>
      <c r="CZ805" s="109"/>
      <c r="DA805" s="109"/>
      <c r="DB805" s="110"/>
      <c r="DC805" s="109"/>
      <c r="DD805" s="111"/>
      <c r="DE805" s="109"/>
      <c r="DF805" s="109"/>
      <c r="DG805" s="110"/>
      <c r="DH805" s="109"/>
      <c r="DI805" s="111"/>
      <c r="DJ805" s="109"/>
      <c r="DK805" s="109"/>
      <c r="DL805" s="110"/>
      <c r="DM805" s="109"/>
      <c r="DN805" s="111"/>
      <c r="DO805" s="109"/>
      <c r="DP805" s="109"/>
      <c r="DQ805" s="110"/>
      <c r="DR805" s="109"/>
      <c r="DS805" s="111"/>
      <c r="DT805" s="109"/>
      <c r="DU805" s="109"/>
      <c r="DV805" s="110"/>
      <c r="DW805" s="109"/>
      <c r="DX805" s="111"/>
      <c r="DY805" s="109"/>
      <c r="DZ805" s="109"/>
      <c r="EA805" s="110"/>
      <c r="EB805" s="109"/>
      <c r="EC805" s="111"/>
      <c r="ED805" s="109"/>
      <c r="EE805" s="109"/>
      <c r="EF805" s="110"/>
      <c r="EG805" s="109"/>
      <c r="EH805" s="111"/>
      <c r="EI805" s="109"/>
      <c r="EJ805" s="109"/>
      <c r="EK805" s="110"/>
      <c r="EL805" s="109"/>
      <c r="EM805" s="111"/>
      <c r="EN805" s="109"/>
      <c r="EO805" s="109"/>
      <c r="EP805" s="110"/>
      <c r="EQ805" s="109"/>
      <c r="ER805" s="111"/>
      <c r="ES805" s="109"/>
      <c r="ET805" s="109"/>
      <c r="EU805" s="110"/>
      <c r="EV805" s="109"/>
      <c r="EW805" s="111"/>
      <c r="EX805" s="109"/>
      <c r="EY805" s="109"/>
      <c r="EZ805" s="110"/>
      <c r="FA805" s="109"/>
      <c r="FB805" s="111"/>
      <c r="FC805" s="109"/>
      <c r="FD805" s="109"/>
      <c r="FE805" s="110"/>
      <c r="FF805" s="109"/>
      <c r="FG805" s="111"/>
      <c r="FH805" s="109"/>
      <c r="FI805" s="109"/>
      <c r="FJ805" s="110"/>
      <c r="FK805" s="109"/>
      <c r="FL805" s="111"/>
      <c r="FM805" s="109"/>
      <c r="FN805" s="109"/>
      <c r="FO805" s="110"/>
      <c r="FP805" s="109"/>
      <c r="FQ805" s="111"/>
      <c r="FR805" s="109"/>
      <c r="FS805" s="109"/>
      <c r="FT805" s="110"/>
      <c r="FU805" s="109"/>
      <c r="FV805" s="111"/>
      <c r="FW805" s="109"/>
      <c r="FX805" s="109"/>
      <c r="FY805" s="110"/>
      <c r="FZ805" s="109"/>
      <c r="GA805" s="111"/>
      <c r="GB805" s="109"/>
      <c r="GC805" s="109"/>
      <c r="GD805" s="110"/>
      <c r="GE805" s="109"/>
      <c r="GF805" s="111"/>
      <c r="GG805" s="109"/>
      <c r="GH805" s="109"/>
      <c r="GI805" s="110"/>
      <c r="GJ805" s="109"/>
      <c r="GK805" s="111"/>
      <c r="GL805" s="109"/>
      <c r="GM805" s="109"/>
      <c r="GN805" s="110"/>
      <c r="GO805" s="109"/>
      <c r="GP805" s="111"/>
      <c r="GQ805" s="109"/>
      <c r="GR805" s="109"/>
      <c r="GS805" s="110"/>
      <c r="GT805" s="109"/>
      <c r="GU805" s="111"/>
      <c r="GV805" s="109"/>
      <c r="GW805" s="109"/>
      <c r="GX805" s="110"/>
      <c r="GY805" s="109"/>
      <c r="GZ805" s="111"/>
      <c r="HA805" s="109"/>
      <c r="HB805" s="109"/>
      <c r="HC805" s="110"/>
      <c r="HD805" s="109"/>
      <c r="HE805" s="111"/>
      <c r="HF805" s="109"/>
      <c r="HG805" s="109"/>
      <c r="HH805" s="110"/>
      <c r="HI805" s="109"/>
      <c r="HJ805" s="111"/>
      <c r="HK805" s="109"/>
      <c r="HL805" s="109"/>
      <c r="HM805" s="110"/>
      <c r="HN805" s="109"/>
      <c r="HO805" s="111"/>
      <c r="HP805" s="109"/>
      <c r="HQ805" s="109"/>
      <c r="HR805" s="110"/>
      <c r="HS805" s="109"/>
      <c r="HT805" s="111"/>
      <c r="HU805" s="109"/>
      <c r="HV805" s="109"/>
      <c r="HW805" s="110"/>
      <c r="HX805" s="109"/>
      <c r="HY805" s="111"/>
      <c r="HZ805" s="109"/>
      <c r="IA805" s="109"/>
      <c r="IB805" s="110"/>
      <c r="IC805" s="109"/>
      <c r="ID805" s="111"/>
      <c r="IE805" s="109"/>
      <c r="IF805" s="109"/>
      <c r="IG805" s="110"/>
      <c r="IH805" s="109"/>
      <c r="II805" s="111"/>
      <c r="IJ805" s="109"/>
      <c r="IK805" s="109"/>
      <c r="IL805" s="110"/>
      <c r="IM805" s="109"/>
      <c r="IN805" s="111"/>
      <c r="IO805" s="109"/>
      <c r="IP805" s="109"/>
      <c r="IQ805" s="110"/>
      <c r="IR805" s="109"/>
      <c r="IS805" s="111"/>
      <c r="IT805" s="109"/>
      <c r="IU805" s="109"/>
      <c r="IV805" s="110"/>
    </row>
    <row r="806" spans="1:256" s="123" customFormat="1" ht="14.25">
      <c r="A806" s="134">
        <v>37025</v>
      </c>
      <c r="B806" s="111">
        <v>41.4728</v>
      </c>
      <c r="C806" s="111">
        <f t="shared" si="13"/>
        <v>0.0414728</v>
      </c>
      <c r="D806" s="111">
        <v>23.6984</v>
      </c>
      <c r="E806" s="111">
        <v>27.0128</v>
      </c>
      <c r="F806" s="131"/>
      <c r="G806" s="109"/>
      <c r="H806" s="109"/>
      <c r="I806" s="109"/>
      <c r="J806" s="109"/>
      <c r="K806" s="110"/>
      <c r="L806" s="109"/>
      <c r="M806" s="111"/>
      <c r="N806" s="109"/>
      <c r="O806" s="109"/>
      <c r="P806" s="110"/>
      <c r="Q806" s="109"/>
      <c r="R806" s="111"/>
      <c r="S806" s="109"/>
      <c r="T806" s="109"/>
      <c r="U806" s="110"/>
      <c r="V806" s="109"/>
      <c r="W806" s="111"/>
      <c r="X806" s="109"/>
      <c r="Y806" s="109"/>
      <c r="Z806" s="110"/>
      <c r="AA806" s="109"/>
      <c r="AB806" s="111"/>
      <c r="AC806" s="109"/>
      <c r="AD806" s="109"/>
      <c r="AE806" s="110"/>
      <c r="AF806" s="109"/>
      <c r="AG806" s="111"/>
      <c r="AH806" s="109"/>
      <c r="AI806" s="109"/>
      <c r="AJ806" s="110"/>
      <c r="AK806" s="109"/>
      <c r="AL806" s="111"/>
      <c r="AM806" s="109"/>
      <c r="AN806" s="109"/>
      <c r="AO806" s="110"/>
      <c r="AP806" s="109"/>
      <c r="AQ806" s="111"/>
      <c r="AR806" s="109"/>
      <c r="AS806" s="109"/>
      <c r="AT806" s="110"/>
      <c r="AU806" s="109"/>
      <c r="AV806" s="111"/>
      <c r="AW806" s="109"/>
      <c r="AX806" s="109"/>
      <c r="AY806" s="110"/>
      <c r="AZ806" s="109"/>
      <c r="BA806" s="111"/>
      <c r="BB806" s="109"/>
      <c r="BC806" s="109"/>
      <c r="BD806" s="110"/>
      <c r="BE806" s="109"/>
      <c r="BF806" s="111"/>
      <c r="BG806" s="109"/>
      <c r="BH806" s="109"/>
      <c r="BI806" s="110"/>
      <c r="BJ806" s="109"/>
      <c r="BK806" s="111"/>
      <c r="BL806" s="109"/>
      <c r="BM806" s="109"/>
      <c r="BN806" s="110"/>
      <c r="BO806" s="109"/>
      <c r="BP806" s="111"/>
      <c r="BQ806" s="109"/>
      <c r="BR806" s="109"/>
      <c r="BS806" s="110"/>
      <c r="BT806" s="109"/>
      <c r="BU806" s="111"/>
      <c r="BV806" s="109"/>
      <c r="BW806" s="109"/>
      <c r="BX806" s="110"/>
      <c r="BY806" s="109"/>
      <c r="BZ806" s="111"/>
      <c r="CA806" s="109"/>
      <c r="CB806" s="109"/>
      <c r="CC806" s="110"/>
      <c r="CD806" s="109"/>
      <c r="CE806" s="111"/>
      <c r="CF806" s="109"/>
      <c r="CG806" s="109"/>
      <c r="CH806" s="110"/>
      <c r="CI806" s="109"/>
      <c r="CJ806" s="111"/>
      <c r="CK806" s="109"/>
      <c r="CL806" s="109"/>
      <c r="CM806" s="110"/>
      <c r="CN806" s="109"/>
      <c r="CO806" s="111"/>
      <c r="CP806" s="109"/>
      <c r="CQ806" s="109"/>
      <c r="CR806" s="110"/>
      <c r="CS806" s="109"/>
      <c r="CT806" s="111"/>
      <c r="CU806" s="109"/>
      <c r="CV806" s="109"/>
      <c r="CW806" s="110"/>
      <c r="CX806" s="109"/>
      <c r="CY806" s="111"/>
      <c r="CZ806" s="109"/>
      <c r="DA806" s="109"/>
      <c r="DB806" s="110"/>
      <c r="DC806" s="109"/>
      <c r="DD806" s="111"/>
      <c r="DE806" s="109"/>
      <c r="DF806" s="109"/>
      <c r="DG806" s="110"/>
      <c r="DH806" s="109"/>
      <c r="DI806" s="111"/>
      <c r="DJ806" s="109"/>
      <c r="DK806" s="109"/>
      <c r="DL806" s="110"/>
      <c r="DM806" s="109"/>
      <c r="DN806" s="111"/>
      <c r="DO806" s="109"/>
      <c r="DP806" s="109"/>
      <c r="DQ806" s="110"/>
      <c r="DR806" s="109"/>
      <c r="DS806" s="111"/>
      <c r="DT806" s="109"/>
      <c r="DU806" s="109"/>
      <c r="DV806" s="110"/>
      <c r="DW806" s="109"/>
      <c r="DX806" s="111"/>
      <c r="DY806" s="109"/>
      <c r="DZ806" s="109"/>
      <c r="EA806" s="110"/>
      <c r="EB806" s="109"/>
      <c r="EC806" s="111"/>
      <c r="ED806" s="109"/>
      <c r="EE806" s="109"/>
      <c r="EF806" s="110"/>
      <c r="EG806" s="109"/>
      <c r="EH806" s="111"/>
      <c r="EI806" s="109"/>
      <c r="EJ806" s="109"/>
      <c r="EK806" s="110"/>
      <c r="EL806" s="109"/>
      <c r="EM806" s="111"/>
      <c r="EN806" s="109"/>
      <c r="EO806" s="109"/>
      <c r="EP806" s="110"/>
      <c r="EQ806" s="109"/>
      <c r="ER806" s="111"/>
      <c r="ES806" s="109"/>
      <c r="ET806" s="109"/>
      <c r="EU806" s="110"/>
      <c r="EV806" s="109"/>
      <c r="EW806" s="111"/>
      <c r="EX806" s="109"/>
      <c r="EY806" s="109"/>
      <c r="EZ806" s="110"/>
      <c r="FA806" s="109"/>
      <c r="FB806" s="111"/>
      <c r="FC806" s="109"/>
      <c r="FD806" s="109"/>
      <c r="FE806" s="110"/>
      <c r="FF806" s="109"/>
      <c r="FG806" s="111"/>
      <c r="FH806" s="109"/>
      <c r="FI806" s="109"/>
      <c r="FJ806" s="110"/>
      <c r="FK806" s="109"/>
      <c r="FL806" s="111"/>
      <c r="FM806" s="109"/>
      <c r="FN806" s="109"/>
      <c r="FO806" s="110"/>
      <c r="FP806" s="109"/>
      <c r="FQ806" s="111"/>
      <c r="FR806" s="109"/>
      <c r="FS806" s="109"/>
      <c r="FT806" s="110"/>
      <c r="FU806" s="109"/>
      <c r="FV806" s="111"/>
      <c r="FW806" s="109"/>
      <c r="FX806" s="109"/>
      <c r="FY806" s="110"/>
      <c r="FZ806" s="109"/>
      <c r="GA806" s="111"/>
      <c r="GB806" s="109"/>
      <c r="GC806" s="109"/>
      <c r="GD806" s="110"/>
      <c r="GE806" s="109"/>
      <c r="GF806" s="111"/>
      <c r="GG806" s="109"/>
      <c r="GH806" s="109"/>
      <c r="GI806" s="110"/>
      <c r="GJ806" s="109"/>
      <c r="GK806" s="111"/>
      <c r="GL806" s="109"/>
      <c r="GM806" s="109"/>
      <c r="GN806" s="110"/>
      <c r="GO806" s="109"/>
      <c r="GP806" s="111"/>
      <c r="GQ806" s="109"/>
      <c r="GR806" s="109"/>
      <c r="GS806" s="110"/>
      <c r="GT806" s="109"/>
      <c r="GU806" s="111"/>
      <c r="GV806" s="109"/>
      <c r="GW806" s="109"/>
      <c r="GX806" s="110"/>
      <c r="GY806" s="109"/>
      <c r="GZ806" s="111"/>
      <c r="HA806" s="109"/>
      <c r="HB806" s="109"/>
      <c r="HC806" s="110"/>
      <c r="HD806" s="109"/>
      <c r="HE806" s="111"/>
      <c r="HF806" s="109"/>
      <c r="HG806" s="109"/>
      <c r="HH806" s="110"/>
      <c r="HI806" s="109"/>
      <c r="HJ806" s="111"/>
      <c r="HK806" s="109"/>
      <c r="HL806" s="109"/>
      <c r="HM806" s="110"/>
      <c r="HN806" s="109"/>
      <c r="HO806" s="111"/>
      <c r="HP806" s="109"/>
      <c r="HQ806" s="109"/>
      <c r="HR806" s="110"/>
      <c r="HS806" s="109"/>
      <c r="HT806" s="111"/>
      <c r="HU806" s="109"/>
      <c r="HV806" s="109"/>
      <c r="HW806" s="110"/>
      <c r="HX806" s="109"/>
      <c r="HY806" s="111"/>
      <c r="HZ806" s="109"/>
      <c r="IA806" s="109"/>
      <c r="IB806" s="110"/>
      <c r="IC806" s="109"/>
      <c r="ID806" s="111"/>
      <c r="IE806" s="109"/>
      <c r="IF806" s="109"/>
      <c r="IG806" s="110"/>
      <c r="IH806" s="109"/>
      <c r="II806" s="111"/>
      <c r="IJ806" s="109"/>
      <c r="IK806" s="109"/>
      <c r="IL806" s="110"/>
      <c r="IM806" s="109"/>
      <c r="IN806" s="111"/>
      <c r="IO806" s="109"/>
      <c r="IP806" s="109"/>
      <c r="IQ806" s="110"/>
      <c r="IR806" s="109"/>
      <c r="IS806" s="111"/>
      <c r="IT806" s="109"/>
      <c r="IU806" s="109"/>
      <c r="IV806" s="110"/>
    </row>
    <row r="807" spans="1:256" s="123" customFormat="1" ht="14.25">
      <c r="A807" s="134">
        <v>37026</v>
      </c>
      <c r="B807" s="111">
        <v>43.6993</v>
      </c>
      <c r="C807" s="111">
        <f t="shared" si="13"/>
        <v>0.0436993</v>
      </c>
      <c r="D807" s="111">
        <v>24.9331</v>
      </c>
      <c r="E807" s="111">
        <v>28.5113</v>
      </c>
      <c r="F807" s="131"/>
      <c r="G807" s="109"/>
      <c r="H807" s="109"/>
      <c r="I807" s="109"/>
      <c r="J807" s="109"/>
      <c r="K807" s="110"/>
      <c r="L807" s="109"/>
      <c r="M807" s="111"/>
      <c r="N807" s="109"/>
      <c r="O807" s="109"/>
      <c r="P807" s="110"/>
      <c r="Q807" s="109"/>
      <c r="R807" s="111"/>
      <c r="S807" s="109"/>
      <c r="T807" s="109"/>
      <c r="U807" s="110"/>
      <c r="V807" s="109"/>
      <c r="W807" s="111"/>
      <c r="X807" s="109"/>
      <c r="Y807" s="109"/>
      <c r="Z807" s="110"/>
      <c r="AA807" s="109"/>
      <c r="AB807" s="111"/>
      <c r="AC807" s="109"/>
      <c r="AD807" s="109"/>
      <c r="AE807" s="110"/>
      <c r="AF807" s="109"/>
      <c r="AG807" s="111"/>
      <c r="AH807" s="109"/>
      <c r="AI807" s="109"/>
      <c r="AJ807" s="110"/>
      <c r="AK807" s="109"/>
      <c r="AL807" s="111"/>
      <c r="AM807" s="109"/>
      <c r="AN807" s="109"/>
      <c r="AO807" s="110"/>
      <c r="AP807" s="109"/>
      <c r="AQ807" s="111"/>
      <c r="AR807" s="109"/>
      <c r="AS807" s="109"/>
      <c r="AT807" s="110"/>
      <c r="AU807" s="109"/>
      <c r="AV807" s="111"/>
      <c r="AW807" s="109"/>
      <c r="AX807" s="109"/>
      <c r="AY807" s="110"/>
      <c r="AZ807" s="109"/>
      <c r="BA807" s="111"/>
      <c r="BB807" s="109"/>
      <c r="BC807" s="109"/>
      <c r="BD807" s="110"/>
      <c r="BE807" s="109"/>
      <c r="BF807" s="111"/>
      <c r="BG807" s="109"/>
      <c r="BH807" s="109"/>
      <c r="BI807" s="110"/>
      <c r="BJ807" s="109"/>
      <c r="BK807" s="111"/>
      <c r="BL807" s="109"/>
      <c r="BM807" s="109"/>
      <c r="BN807" s="110"/>
      <c r="BO807" s="109"/>
      <c r="BP807" s="111"/>
      <c r="BQ807" s="109"/>
      <c r="BR807" s="109"/>
      <c r="BS807" s="110"/>
      <c r="BT807" s="109"/>
      <c r="BU807" s="111"/>
      <c r="BV807" s="109"/>
      <c r="BW807" s="109"/>
      <c r="BX807" s="110"/>
      <c r="BY807" s="109"/>
      <c r="BZ807" s="111"/>
      <c r="CA807" s="109"/>
      <c r="CB807" s="109"/>
      <c r="CC807" s="110"/>
      <c r="CD807" s="109"/>
      <c r="CE807" s="111"/>
      <c r="CF807" s="109"/>
      <c r="CG807" s="109"/>
      <c r="CH807" s="110"/>
      <c r="CI807" s="109"/>
      <c r="CJ807" s="111"/>
      <c r="CK807" s="109"/>
      <c r="CL807" s="109"/>
      <c r="CM807" s="110"/>
      <c r="CN807" s="109"/>
      <c r="CO807" s="111"/>
      <c r="CP807" s="109"/>
      <c r="CQ807" s="109"/>
      <c r="CR807" s="110"/>
      <c r="CS807" s="109"/>
      <c r="CT807" s="111"/>
      <c r="CU807" s="109"/>
      <c r="CV807" s="109"/>
      <c r="CW807" s="110"/>
      <c r="CX807" s="109"/>
      <c r="CY807" s="111"/>
      <c r="CZ807" s="109"/>
      <c r="DA807" s="109"/>
      <c r="DB807" s="110"/>
      <c r="DC807" s="109"/>
      <c r="DD807" s="111"/>
      <c r="DE807" s="109"/>
      <c r="DF807" s="109"/>
      <c r="DG807" s="110"/>
      <c r="DH807" s="109"/>
      <c r="DI807" s="111"/>
      <c r="DJ807" s="109"/>
      <c r="DK807" s="109"/>
      <c r="DL807" s="110"/>
      <c r="DM807" s="109"/>
      <c r="DN807" s="111"/>
      <c r="DO807" s="109"/>
      <c r="DP807" s="109"/>
      <c r="DQ807" s="110"/>
      <c r="DR807" s="109"/>
      <c r="DS807" s="111"/>
      <c r="DT807" s="109"/>
      <c r="DU807" s="109"/>
      <c r="DV807" s="110"/>
      <c r="DW807" s="109"/>
      <c r="DX807" s="111"/>
      <c r="DY807" s="109"/>
      <c r="DZ807" s="109"/>
      <c r="EA807" s="110"/>
      <c r="EB807" s="109"/>
      <c r="EC807" s="111"/>
      <c r="ED807" s="109"/>
      <c r="EE807" s="109"/>
      <c r="EF807" s="110"/>
      <c r="EG807" s="109"/>
      <c r="EH807" s="111"/>
      <c r="EI807" s="109"/>
      <c r="EJ807" s="109"/>
      <c r="EK807" s="110"/>
      <c r="EL807" s="109"/>
      <c r="EM807" s="111"/>
      <c r="EN807" s="109"/>
      <c r="EO807" s="109"/>
      <c r="EP807" s="110"/>
      <c r="EQ807" s="109"/>
      <c r="ER807" s="111"/>
      <c r="ES807" s="109"/>
      <c r="ET807" s="109"/>
      <c r="EU807" s="110"/>
      <c r="EV807" s="109"/>
      <c r="EW807" s="111"/>
      <c r="EX807" s="109"/>
      <c r="EY807" s="109"/>
      <c r="EZ807" s="110"/>
      <c r="FA807" s="109"/>
      <c r="FB807" s="111"/>
      <c r="FC807" s="109"/>
      <c r="FD807" s="109"/>
      <c r="FE807" s="110"/>
      <c r="FF807" s="109"/>
      <c r="FG807" s="111"/>
      <c r="FH807" s="109"/>
      <c r="FI807" s="109"/>
      <c r="FJ807" s="110"/>
      <c r="FK807" s="109"/>
      <c r="FL807" s="111"/>
      <c r="FM807" s="109"/>
      <c r="FN807" s="109"/>
      <c r="FO807" s="110"/>
      <c r="FP807" s="109"/>
      <c r="FQ807" s="111"/>
      <c r="FR807" s="109"/>
      <c r="FS807" s="109"/>
      <c r="FT807" s="110"/>
      <c r="FU807" s="109"/>
      <c r="FV807" s="111"/>
      <c r="FW807" s="109"/>
      <c r="FX807" s="109"/>
      <c r="FY807" s="110"/>
      <c r="FZ807" s="109"/>
      <c r="GA807" s="111"/>
      <c r="GB807" s="109"/>
      <c r="GC807" s="109"/>
      <c r="GD807" s="110"/>
      <c r="GE807" s="109"/>
      <c r="GF807" s="111"/>
      <c r="GG807" s="109"/>
      <c r="GH807" s="109"/>
      <c r="GI807" s="110"/>
      <c r="GJ807" s="109"/>
      <c r="GK807" s="111"/>
      <c r="GL807" s="109"/>
      <c r="GM807" s="109"/>
      <c r="GN807" s="110"/>
      <c r="GO807" s="109"/>
      <c r="GP807" s="111"/>
      <c r="GQ807" s="109"/>
      <c r="GR807" s="109"/>
      <c r="GS807" s="110"/>
      <c r="GT807" s="109"/>
      <c r="GU807" s="111"/>
      <c r="GV807" s="109"/>
      <c r="GW807" s="109"/>
      <c r="GX807" s="110"/>
      <c r="GY807" s="109"/>
      <c r="GZ807" s="111"/>
      <c r="HA807" s="109"/>
      <c r="HB807" s="109"/>
      <c r="HC807" s="110"/>
      <c r="HD807" s="109"/>
      <c r="HE807" s="111"/>
      <c r="HF807" s="109"/>
      <c r="HG807" s="109"/>
      <c r="HH807" s="110"/>
      <c r="HI807" s="109"/>
      <c r="HJ807" s="111"/>
      <c r="HK807" s="109"/>
      <c r="HL807" s="109"/>
      <c r="HM807" s="110"/>
      <c r="HN807" s="109"/>
      <c r="HO807" s="111"/>
      <c r="HP807" s="109"/>
      <c r="HQ807" s="109"/>
      <c r="HR807" s="110"/>
      <c r="HS807" s="109"/>
      <c r="HT807" s="111"/>
      <c r="HU807" s="109"/>
      <c r="HV807" s="109"/>
      <c r="HW807" s="110"/>
      <c r="HX807" s="109"/>
      <c r="HY807" s="111"/>
      <c r="HZ807" s="109"/>
      <c r="IA807" s="109"/>
      <c r="IB807" s="110"/>
      <c r="IC807" s="109"/>
      <c r="ID807" s="111"/>
      <c r="IE807" s="109"/>
      <c r="IF807" s="109"/>
      <c r="IG807" s="110"/>
      <c r="IH807" s="109"/>
      <c r="II807" s="111"/>
      <c r="IJ807" s="109"/>
      <c r="IK807" s="109"/>
      <c r="IL807" s="110"/>
      <c r="IM807" s="109"/>
      <c r="IN807" s="111"/>
      <c r="IO807" s="109"/>
      <c r="IP807" s="109"/>
      <c r="IQ807" s="110"/>
      <c r="IR807" s="109"/>
      <c r="IS807" s="111"/>
      <c r="IT807" s="109"/>
      <c r="IU807" s="109"/>
      <c r="IV807" s="110"/>
    </row>
    <row r="808" spans="1:256" s="123" customFormat="1" ht="14.25">
      <c r="A808" s="134">
        <v>37027</v>
      </c>
      <c r="B808" s="111">
        <v>47.9097</v>
      </c>
      <c r="C808" s="111">
        <f t="shared" si="13"/>
        <v>0.0479097</v>
      </c>
      <c r="D808" s="111">
        <v>27.4217</v>
      </c>
      <c r="E808" s="111">
        <v>31.2747</v>
      </c>
      <c r="F808" s="131"/>
      <c r="G808" s="109"/>
      <c r="H808" s="111"/>
      <c r="I808" s="109"/>
      <c r="J808" s="109"/>
      <c r="K808" s="110"/>
      <c r="L808" s="109"/>
      <c r="M808" s="111"/>
      <c r="N808" s="109"/>
      <c r="O808" s="109"/>
      <c r="P808" s="110"/>
      <c r="Q808" s="109"/>
      <c r="R808" s="111"/>
      <c r="S808" s="109"/>
      <c r="T808" s="109"/>
      <c r="U808" s="110"/>
      <c r="V808" s="109"/>
      <c r="W808" s="111"/>
      <c r="X808" s="109"/>
      <c r="Y808" s="109"/>
      <c r="Z808" s="110"/>
      <c r="AA808" s="109"/>
      <c r="AB808" s="111"/>
      <c r="AC808" s="109"/>
      <c r="AD808" s="109"/>
      <c r="AE808" s="110"/>
      <c r="AF808" s="109"/>
      <c r="AG808" s="111"/>
      <c r="AH808" s="109"/>
      <c r="AI808" s="109"/>
      <c r="AJ808" s="110"/>
      <c r="AK808" s="109"/>
      <c r="AL808" s="111"/>
      <c r="AM808" s="109"/>
      <c r="AN808" s="109"/>
      <c r="AO808" s="110"/>
      <c r="AP808" s="109"/>
      <c r="AQ808" s="111"/>
      <c r="AR808" s="109"/>
      <c r="AS808" s="109"/>
      <c r="AT808" s="110"/>
      <c r="AU808" s="109"/>
      <c r="AV808" s="111"/>
      <c r="AW808" s="109"/>
      <c r="AX808" s="109"/>
      <c r="AY808" s="110"/>
      <c r="AZ808" s="109"/>
      <c r="BA808" s="111"/>
      <c r="BB808" s="109"/>
      <c r="BC808" s="109"/>
      <c r="BD808" s="110"/>
      <c r="BE808" s="109"/>
      <c r="BF808" s="111"/>
      <c r="BG808" s="109"/>
      <c r="BH808" s="109"/>
      <c r="BI808" s="110"/>
      <c r="BJ808" s="109"/>
      <c r="BK808" s="111"/>
      <c r="BL808" s="109"/>
      <c r="BM808" s="109"/>
      <c r="BN808" s="110"/>
      <c r="BO808" s="109"/>
      <c r="BP808" s="111"/>
      <c r="BQ808" s="109"/>
      <c r="BR808" s="109"/>
      <c r="BS808" s="110"/>
      <c r="BT808" s="109"/>
      <c r="BU808" s="111"/>
      <c r="BV808" s="109"/>
      <c r="BW808" s="109"/>
      <c r="BX808" s="110"/>
      <c r="BY808" s="109"/>
      <c r="BZ808" s="111"/>
      <c r="CA808" s="109"/>
      <c r="CB808" s="109"/>
      <c r="CC808" s="110"/>
      <c r="CD808" s="109"/>
      <c r="CE808" s="111"/>
      <c r="CF808" s="109"/>
      <c r="CG808" s="109"/>
      <c r="CH808" s="110"/>
      <c r="CI808" s="109"/>
      <c r="CJ808" s="111"/>
      <c r="CK808" s="109"/>
      <c r="CL808" s="109"/>
      <c r="CM808" s="110"/>
      <c r="CN808" s="109"/>
      <c r="CO808" s="111"/>
      <c r="CP808" s="109"/>
      <c r="CQ808" s="109"/>
      <c r="CR808" s="110"/>
      <c r="CS808" s="109"/>
      <c r="CT808" s="111"/>
      <c r="CU808" s="109"/>
      <c r="CV808" s="109"/>
      <c r="CW808" s="110"/>
      <c r="CX808" s="109"/>
      <c r="CY808" s="111"/>
      <c r="CZ808" s="109"/>
      <c r="DA808" s="109"/>
      <c r="DB808" s="110"/>
      <c r="DC808" s="109"/>
      <c r="DD808" s="111"/>
      <c r="DE808" s="109"/>
      <c r="DF808" s="109"/>
      <c r="DG808" s="110"/>
      <c r="DH808" s="109"/>
      <c r="DI808" s="111"/>
      <c r="DJ808" s="109"/>
      <c r="DK808" s="109"/>
      <c r="DL808" s="110"/>
      <c r="DM808" s="109"/>
      <c r="DN808" s="111"/>
      <c r="DO808" s="109"/>
      <c r="DP808" s="109"/>
      <c r="DQ808" s="110"/>
      <c r="DR808" s="109"/>
      <c r="DS808" s="111"/>
      <c r="DT808" s="109"/>
      <c r="DU808" s="109"/>
      <c r="DV808" s="110"/>
      <c r="DW808" s="109"/>
      <c r="DX808" s="111"/>
      <c r="DY808" s="109"/>
      <c r="DZ808" s="109"/>
      <c r="EA808" s="110"/>
      <c r="EB808" s="109"/>
      <c r="EC808" s="111"/>
      <c r="ED808" s="109"/>
      <c r="EE808" s="109"/>
      <c r="EF808" s="110"/>
      <c r="EG808" s="109"/>
      <c r="EH808" s="111"/>
      <c r="EI808" s="109"/>
      <c r="EJ808" s="109"/>
      <c r="EK808" s="110"/>
      <c r="EL808" s="109"/>
      <c r="EM808" s="111"/>
      <c r="EN808" s="109"/>
      <c r="EO808" s="109"/>
      <c r="EP808" s="110"/>
      <c r="EQ808" s="109"/>
      <c r="ER808" s="111"/>
      <c r="ES808" s="109"/>
      <c r="ET808" s="109"/>
      <c r="EU808" s="110"/>
      <c r="EV808" s="109"/>
      <c r="EW808" s="111"/>
      <c r="EX808" s="109"/>
      <c r="EY808" s="109"/>
      <c r="EZ808" s="110"/>
      <c r="FA808" s="109"/>
      <c r="FB808" s="111"/>
      <c r="FC808" s="109"/>
      <c r="FD808" s="109"/>
      <c r="FE808" s="110"/>
      <c r="FF808" s="109"/>
      <c r="FG808" s="111"/>
      <c r="FH808" s="109"/>
      <c r="FI808" s="109"/>
      <c r="FJ808" s="110"/>
      <c r="FK808" s="109"/>
      <c r="FL808" s="111"/>
      <c r="FM808" s="109"/>
      <c r="FN808" s="109"/>
      <c r="FO808" s="110"/>
      <c r="FP808" s="109"/>
      <c r="FQ808" s="111"/>
      <c r="FR808" s="109"/>
      <c r="FS808" s="109"/>
      <c r="FT808" s="110"/>
      <c r="FU808" s="109"/>
      <c r="FV808" s="111"/>
      <c r="FW808" s="109"/>
      <c r="FX808" s="109"/>
      <c r="FY808" s="110"/>
      <c r="FZ808" s="109"/>
      <c r="GA808" s="111"/>
      <c r="GB808" s="109"/>
      <c r="GC808" s="109"/>
      <c r="GD808" s="110"/>
      <c r="GE808" s="109"/>
      <c r="GF808" s="111"/>
      <c r="GG808" s="109"/>
      <c r="GH808" s="109"/>
      <c r="GI808" s="110"/>
      <c r="GJ808" s="109"/>
      <c r="GK808" s="111"/>
      <c r="GL808" s="109"/>
      <c r="GM808" s="109"/>
      <c r="GN808" s="110"/>
      <c r="GO808" s="109"/>
      <c r="GP808" s="111"/>
      <c r="GQ808" s="109"/>
      <c r="GR808" s="109"/>
      <c r="GS808" s="110"/>
      <c r="GT808" s="109"/>
      <c r="GU808" s="111"/>
      <c r="GV808" s="109"/>
      <c r="GW808" s="109"/>
      <c r="GX808" s="110"/>
      <c r="GY808" s="109"/>
      <c r="GZ808" s="111"/>
      <c r="HA808" s="109"/>
      <c r="HB808" s="109"/>
      <c r="HC808" s="110"/>
      <c r="HD808" s="109"/>
      <c r="HE808" s="111"/>
      <c r="HF808" s="109"/>
      <c r="HG808" s="109"/>
      <c r="HH808" s="110"/>
      <c r="HI808" s="109"/>
      <c r="HJ808" s="111"/>
      <c r="HK808" s="109"/>
      <c r="HL808" s="109"/>
      <c r="HM808" s="110"/>
      <c r="HN808" s="109"/>
      <c r="HO808" s="111"/>
      <c r="HP808" s="109"/>
      <c r="HQ808" s="109"/>
      <c r="HR808" s="110"/>
      <c r="HS808" s="109"/>
      <c r="HT808" s="111"/>
      <c r="HU808" s="109"/>
      <c r="HV808" s="109"/>
      <c r="HW808" s="110"/>
      <c r="HX808" s="109"/>
      <c r="HY808" s="111"/>
      <c r="HZ808" s="109"/>
      <c r="IA808" s="109"/>
      <c r="IB808" s="110"/>
      <c r="IC808" s="109"/>
      <c r="ID808" s="111"/>
      <c r="IE808" s="109"/>
      <c r="IF808" s="109"/>
      <c r="IG808" s="110"/>
      <c r="IH808" s="109"/>
      <c r="II808" s="111"/>
      <c r="IJ808" s="109"/>
      <c r="IK808" s="109"/>
      <c r="IL808" s="110"/>
      <c r="IM808" s="109"/>
      <c r="IN808" s="111"/>
      <c r="IO808" s="109"/>
      <c r="IP808" s="109"/>
      <c r="IQ808" s="110"/>
      <c r="IR808" s="109"/>
      <c r="IS808" s="111"/>
      <c r="IT808" s="109"/>
      <c r="IU808" s="109"/>
      <c r="IV808" s="110"/>
    </row>
    <row r="809" spans="1:256" s="123" customFormat="1" ht="14.25">
      <c r="A809" s="134">
        <v>37028</v>
      </c>
      <c r="B809" s="111">
        <v>48.0762</v>
      </c>
      <c r="C809" s="111">
        <f t="shared" si="13"/>
        <v>0.0480762</v>
      </c>
      <c r="D809" s="111">
        <v>27.706</v>
      </c>
      <c r="E809" s="111">
        <v>31.3629</v>
      </c>
      <c r="F809" s="131"/>
      <c r="G809" s="109"/>
      <c r="H809" s="111"/>
      <c r="I809" s="109"/>
      <c r="J809" s="109"/>
      <c r="K809" s="110"/>
      <c r="L809" s="109"/>
      <c r="M809" s="111"/>
      <c r="N809" s="109"/>
      <c r="O809" s="109"/>
      <c r="P809" s="110"/>
      <c r="Q809" s="109"/>
      <c r="R809" s="111"/>
      <c r="S809" s="109"/>
      <c r="T809" s="109"/>
      <c r="U809" s="110"/>
      <c r="V809" s="109"/>
      <c r="W809" s="111"/>
      <c r="X809" s="109"/>
      <c r="Y809" s="109"/>
      <c r="Z809" s="110"/>
      <c r="AA809" s="109"/>
      <c r="AB809" s="111"/>
      <c r="AC809" s="109"/>
      <c r="AD809" s="109"/>
      <c r="AE809" s="110"/>
      <c r="AF809" s="109"/>
      <c r="AG809" s="111"/>
      <c r="AH809" s="109"/>
      <c r="AI809" s="109"/>
      <c r="AJ809" s="110"/>
      <c r="AK809" s="109"/>
      <c r="AL809" s="111"/>
      <c r="AM809" s="109"/>
      <c r="AN809" s="109"/>
      <c r="AO809" s="110"/>
      <c r="AP809" s="109"/>
      <c r="AQ809" s="111"/>
      <c r="AR809" s="109"/>
      <c r="AS809" s="109"/>
      <c r="AT809" s="110"/>
      <c r="AU809" s="109"/>
      <c r="AV809" s="111"/>
      <c r="AW809" s="109"/>
      <c r="AX809" s="109"/>
      <c r="AY809" s="110"/>
      <c r="AZ809" s="109"/>
      <c r="BA809" s="111"/>
      <c r="BB809" s="109"/>
      <c r="BC809" s="109"/>
      <c r="BD809" s="110"/>
      <c r="BE809" s="109"/>
      <c r="BF809" s="111"/>
      <c r="BG809" s="109"/>
      <c r="BH809" s="109"/>
      <c r="BI809" s="110"/>
      <c r="BJ809" s="109"/>
      <c r="BK809" s="111"/>
      <c r="BL809" s="109"/>
      <c r="BM809" s="109"/>
      <c r="BN809" s="110"/>
      <c r="BO809" s="109"/>
      <c r="BP809" s="111"/>
      <c r="BQ809" s="109"/>
      <c r="BR809" s="109"/>
      <c r="BS809" s="110"/>
      <c r="BT809" s="109"/>
      <c r="BU809" s="111"/>
      <c r="BV809" s="109"/>
      <c r="BW809" s="109"/>
      <c r="BX809" s="110"/>
      <c r="BY809" s="109"/>
      <c r="BZ809" s="111"/>
      <c r="CA809" s="109"/>
      <c r="CB809" s="109"/>
      <c r="CC809" s="110"/>
      <c r="CD809" s="109"/>
      <c r="CE809" s="111"/>
      <c r="CF809" s="109"/>
      <c r="CG809" s="109"/>
      <c r="CH809" s="110"/>
      <c r="CI809" s="109"/>
      <c r="CJ809" s="111"/>
      <c r="CK809" s="109"/>
      <c r="CL809" s="109"/>
      <c r="CM809" s="110"/>
      <c r="CN809" s="109"/>
      <c r="CO809" s="111"/>
      <c r="CP809" s="109"/>
      <c r="CQ809" s="109"/>
      <c r="CR809" s="110"/>
      <c r="CS809" s="109"/>
      <c r="CT809" s="111"/>
      <c r="CU809" s="109"/>
      <c r="CV809" s="109"/>
      <c r="CW809" s="110"/>
      <c r="CX809" s="109"/>
      <c r="CY809" s="111"/>
      <c r="CZ809" s="109"/>
      <c r="DA809" s="109"/>
      <c r="DB809" s="110"/>
      <c r="DC809" s="109"/>
      <c r="DD809" s="111"/>
      <c r="DE809" s="109"/>
      <c r="DF809" s="109"/>
      <c r="DG809" s="110"/>
      <c r="DH809" s="109"/>
      <c r="DI809" s="111"/>
      <c r="DJ809" s="109"/>
      <c r="DK809" s="109"/>
      <c r="DL809" s="110"/>
      <c r="DM809" s="109"/>
      <c r="DN809" s="111"/>
      <c r="DO809" s="109"/>
      <c r="DP809" s="109"/>
      <c r="DQ809" s="110"/>
      <c r="DR809" s="109"/>
      <c r="DS809" s="111"/>
      <c r="DT809" s="109"/>
      <c r="DU809" s="109"/>
      <c r="DV809" s="110"/>
      <c r="DW809" s="109"/>
      <c r="DX809" s="111"/>
      <c r="DY809" s="109"/>
      <c r="DZ809" s="109"/>
      <c r="EA809" s="110"/>
      <c r="EB809" s="109"/>
      <c r="EC809" s="111"/>
      <c r="ED809" s="109"/>
      <c r="EE809" s="109"/>
      <c r="EF809" s="110"/>
      <c r="EG809" s="109"/>
      <c r="EH809" s="111"/>
      <c r="EI809" s="109"/>
      <c r="EJ809" s="109"/>
      <c r="EK809" s="110"/>
      <c r="EL809" s="109"/>
      <c r="EM809" s="111"/>
      <c r="EN809" s="109"/>
      <c r="EO809" s="109"/>
      <c r="EP809" s="110"/>
      <c r="EQ809" s="109"/>
      <c r="ER809" s="111"/>
      <c r="ES809" s="109"/>
      <c r="ET809" s="109"/>
      <c r="EU809" s="110"/>
      <c r="EV809" s="109"/>
      <c r="EW809" s="111"/>
      <c r="EX809" s="109"/>
      <c r="EY809" s="109"/>
      <c r="EZ809" s="110"/>
      <c r="FA809" s="109"/>
      <c r="FB809" s="111"/>
      <c r="FC809" s="109"/>
      <c r="FD809" s="109"/>
      <c r="FE809" s="110"/>
      <c r="FF809" s="109"/>
      <c r="FG809" s="111"/>
      <c r="FH809" s="109"/>
      <c r="FI809" s="109"/>
      <c r="FJ809" s="110"/>
      <c r="FK809" s="109"/>
      <c r="FL809" s="111"/>
      <c r="FM809" s="109"/>
      <c r="FN809" s="109"/>
      <c r="FO809" s="110"/>
      <c r="FP809" s="109"/>
      <c r="FQ809" s="111"/>
      <c r="FR809" s="109"/>
      <c r="FS809" s="109"/>
      <c r="FT809" s="110"/>
      <c r="FU809" s="109"/>
      <c r="FV809" s="111"/>
      <c r="FW809" s="109"/>
      <c r="FX809" s="109"/>
      <c r="FY809" s="110"/>
      <c r="FZ809" s="109"/>
      <c r="GA809" s="111"/>
      <c r="GB809" s="109"/>
      <c r="GC809" s="109"/>
      <c r="GD809" s="110"/>
      <c r="GE809" s="109"/>
      <c r="GF809" s="111"/>
      <c r="GG809" s="109"/>
      <c r="GH809" s="109"/>
      <c r="GI809" s="110"/>
      <c r="GJ809" s="109"/>
      <c r="GK809" s="111"/>
      <c r="GL809" s="109"/>
      <c r="GM809" s="109"/>
      <c r="GN809" s="110"/>
      <c r="GO809" s="109"/>
      <c r="GP809" s="111"/>
      <c r="GQ809" s="109"/>
      <c r="GR809" s="109"/>
      <c r="GS809" s="110"/>
      <c r="GT809" s="109"/>
      <c r="GU809" s="111"/>
      <c r="GV809" s="109"/>
      <c r="GW809" s="109"/>
      <c r="GX809" s="110"/>
      <c r="GY809" s="109"/>
      <c r="GZ809" s="111"/>
      <c r="HA809" s="109"/>
      <c r="HB809" s="109"/>
      <c r="HC809" s="110"/>
      <c r="HD809" s="109"/>
      <c r="HE809" s="111"/>
      <c r="HF809" s="109"/>
      <c r="HG809" s="109"/>
      <c r="HH809" s="110"/>
      <c r="HI809" s="109"/>
      <c r="HJ809" s="111"/>
      <c r="HK809" s="109"/>
      <c r="HL809" s="109"/>
      <c r="HM809" s="110"/>
      <c r="HN809" s="109"/>
      <c r="HO809" s="111"/>
      <c r="HP809" s="109"/>
      <c r="HQ809" s="109"/>
      <c r="HR809" s="110"/>
      <c r="HS809" s="109"/>
      <c r="HT809" s="111"/>
      <c r="HU809" s="109"/>
      <c r="HV809" s="109"/>
      <c r="HW809" s="110"/>
      <c r="HX809" s="109"/>
      <c r="HY809" s="111"/>
      <c r="HZ809" s="109"/>
      <c r="IA809" s="109"/>
      <c r="IB809" s="110"/>
      <c r="IC809" s="109"/>
      <c r="ID809" s="111"/>
      <c r="IE809" s="109"/>
      <c r="IF809" s="109"/>
      <c r="IG809" s="110"/>
      <c r="IH809" s="109"/>
      <c r="II809" s="111"/>
      <c r="IJ809" s="109"/>
      <c r="IK809" s="109"/>
      <c r="IL809" s="110"/>
      <c r="IM809" s="109"/>
      <c r="IN809" s="111"/>
      <c r="IO809" s="109"/>
      <c r="IP809" s="109"/>
      <c r="IQ809" s="110"/>
      <c r="IR809" s="109"/>
      <c r="IS809" s="111"/>
      <c r="IT809" s="109"/>
      <c r="IU809" s="109"/>
      <c r="IV809" s="110"/>
    </row>
    <row r="810" spans="1:256" s="123" customFormat="1" ht="14.25">
      <c r="A810" s="134">
        <v>37029</v>
      </c>
      <c r="B810" s="111">
        <v>47.9402</v>
      </c>
      <c r="C810" s="111">
        <f t="shared" si="13"/>
        <v>0.047940199999999995</v>
      </c>
      <c r="D810" s="111">
        <v>27.5664</v>
      </c>
      <c r="E810" s="111">
        <v>31.2722</v>
      </c>
      <c r="F810" s="131"/>
      <c r="G810" s="109"/>
      <c r="H810" s="111"/>
      <c r="I810" s="109"/>
      <c r="J810" s="109"/>
      <c r="K810" s="110"/>
      <c r="L810" s="109"/>
      <c r="M810" s="111"/>
      <c r="N810" s="109"/>
      <c r="O810" s="109"/>
      <c r="P810" s="110"/>
      <c r="Q810" s="109"/>
      <c r="R810" s="111"/>
      <c r="S810" s="109"/>
      <c r="T810" s="109"/>
      <c r="U810" s="110"/>
      <c r="V810" s="109"/>
      <c r="W810" s="111"/>
      <c r="X810" s="109"/>
      <c r="Y810" s="109"/>
      <c r="Z810" s="110"/>
      <c r="AA810" s="109"/>
      <c r="AB810" s="111"/>
      <c r="AC810" s="109"/>
      <c r="AD810" s="109"/>
      <c r="AE810" s="110"/>
      <c r="AF810" s="109"/>
      <c r="AG810" s="111"/>
      <c r="AH810" s="109"/>
      <c r="AI810" s="109"/>
      <c r="AJ810" s="110"/>
      <c r="AK810" s="109"/>
      <c r="AL810" s="111"/>
      <c r="AM810" s="109"/>
      <c r="AN810" s="109"/>
      <c r="AO810" s="110"/>
      <c r="AP810" s="109"/>
      <c r="AQ810" s="111"/>
      <c r="AR810" s="109"/>
      <c r="AS810" s="109"/>
      <c r="AT810" s="110"/>
      <c r="AU810" s="109"/>
      <c r="AV810" s="111"/>
      <c r="AW810" s="109"/>
      <c r="AX810" s="109"/>
      <c r="AY810" s="110"/>
      <c r="AZ810" s="109"/>
      <c r="BA810" s="111"/>
      <c r="BB810" s="109"/>
      <c r="BC810" s="109"/>
      <c r="BD810" s="110"/>
      <c r="BE810" s="109"/>
      <c r="BF810" s="111"/>
      <c r="BG810" s="109"/>
      <c r="BH810" s="109"/>
      <c r="BI810" s="110"/>
      <c r="BJ810" s="109"/>
      <c r="BK810" s="111"/>
      <c r="BL810" s="109"/>
      <c r="BM810" s="109"/>
      <c r="BN810" s="110"/>
      <c r="BO810" s="109"/>
      <c r="BP810" s="111"/>
      <c r="BQ810" s="109"/>
      <c r="BR810" s="109"/>
      <c r="BS810" s="110"/>
      <c r="BT810" s="109"/>
      <c r="BU810" s="111"/>
      <c r="BV810" s="109"/>
      <c r="BW810" s="109"/>
      <c r="BX810" s="110"/>
      <c r="BY810" s="109"/>
      <c r="BZ810" s="111"/>
      <c r="CA810" s="109"/>
      <c r="CB810" s="109"/>
      <c r="CC810" s="110"/>
      <c r="CD810" s="109"/>
      <c r="CE810" s="111"/>
      <c r="CF810" s="109"/>
      <c r="CG810" s="109"/>
      <c r="CH810" s="110"/>
      <c r="CI810" s="109"/>
      <c r="CJ810" s="111"/>
      <c r="CK810" s="109"/>
      <c r="CL810" s="109"/>
      <c r="CM810" s="110"/>
      <c r="CN810" s="109"/>
      <c r="CO810" s="111"/>
      <c r="CP810" s="109"/>
      <c r="CQ810" s="109"/>
      <c r="CR810" s="110"/>
      <c r="CS810" s="109"/>
      <c r="CT810" s="111"/>
      <c r="CU810" s="109"/>
      <c r="CV810" s="109"/>
      <c r="CW810" s="110"/>
      <c r="CX810" s="109"/>
      <c r="CY810" s="111"/>
      <c r="CZ810" s="109"/>
      <c r="DA810" s="109"/>
      <c r="DB810" s="110"/>
      <c r="DC810" s="109"/>
      <c r="DD810" s="111"/>
      <c r="DE810" s="109"/>
      <c r="DF810" s="109"/>
      <c r="DG810" s="110"/>
      <c r="DH810" s="109"/>
      <c r="DI810" s="111"/>
      <c r="DJ810" s="109"/>
      <c r="DK810" s="109"/>
      <c r="DL810" s="110"/>
      <c r="DM810" s="109"/>
      <c r="DN810" s="111"/>
      <c r="DO810" s="109"/>
      <c r="DP810" s="109"/>
      <c r="DQ810" s="110"/>
      <c r="DR810" s="109"/>
      <c r="DS810" s="111"/>
      <c r="DT810" s="109"/>
      <c r="DU810" s="109"/>
      <c r="DV810" s="110"/>
      <c r="DW810" s="109"/>
      <c r="DX810" s="111"/>
      <c r="DY810" s="109"/>
      <c r="DZ810" s="109"/>
      <c r="EA810" s="110"/>
      <c r="EB810" s="109"/>
      <c r="EC810" s="111"/>
      <c r="ED810" s="109"/>
      <c r="EE810" s="109"/>
      <c r="EF810" s="110"/>
      <c r="EG810" s="109"/>
      <c r="EH810" s="111"/>
      <c r="EI810" s="109"/>
      <c r="EJ810" s="109"/>
      <c r="EK810" s="110"/>
      <c r="EL810" s="109"/>
      <c r="EM810" s="111"/>
      <c r="EN810" s="109"/>
      <c r="EO810" s="109"/>
      <c r="EP810" s="110"/>
      <c r="EQ810" s="109"/>
      <c r="ER810" s="111"/>
      <c r="ES810" s="109"/>
      <c r="ET810" s="109"/>
      <c r="EU810" s="110"/>
      <c r="EV810" s="109"/>
      <c r="EW810" s="111"/>
      <c r="EX810" s="109"/>
      <c r="EY810" s="109"/>
      <c r="EZ810" s="110"/>
      <c r="FA810" s="109"/>
      <c r="FB810" s="111"/>
      <c r="FC810" s="109"/>
      <c r="FD810" s="109"/>
      <c r="FE810" s="110"/>
      <c r="FF810" s="109"/>
      <c r="FG810" s="111"/>
      <c r="FH810" s="109"/>
      <c r="FI810" s="109"/>
      <c r="FJ810" s="110"/>
      <c r="FK810" s="109"/>
      <c r="FL810" s="111"/>
      <c r="FM810" s="109"/>
      <c r="FN810" s="109"/>
      <c r="FO810" s="110"/>
      <c r="FP810" s="109"/>
      <c r="FQ810" s="111"/>
      <c r="FR810" s="109"/>
      <c r="FS810" s="109"/>
      <c r="FT810" s="110"/>
      <c r="FU810" s="109"/>
      <c r="FV810" s="111"/>
      <c r="FW810" s="109"/>
      <c r="FX810" s="109"/>
      <c r="FY810" s="110"/>
      <c r="FZ810" s="109"/>
      <c r="GA810" s="111"/>
      <c r="GB810" s="109"/>
      <c r="GC810" s="109"/>
      <c r="GD810" s="110"/>
      <c r="GE810" s="109"/>
      <c r="GF810" s="111"/>
      <c r="GG810" s="109"/>
      <c r="GH810" s="109"/>
      <c r="GI810" s="110"/>
      <c r="GJ810" s="109"/>
      <c r="GK810" s="111"/>
      <c r="GL810" s="109"/>
      <c r="GM810" s="109"/>
      <c r="GN810" s="110"/>
      <c r="GO810" s="109"/>
      <c r="GP810" s="111"/>
      <c r="GQ810" s="109"/>
      <c r="GR810" s="109"/>
      <c r="GS810" s="110"/>
      <c r="GT810" s="109"/>
      <c r="GU810" s="111"/>
      <c r="GV810" s="109"/>
      <c r="GW810" s="109"/>
      <c r="GX810" s="110"/>
      <c r="GY810" s="109"/>
      <c r="GZ810" s="111"/>
      <c r="HA810" s="109"/>
      <c r="HB810" s="109"/>
      <c r="HC810" s="110"/>
      <c r="HD810" s="109"/>
      <c r="HE810" s="111"/>
      <c r="HF810" s="109"/>
      <c r="HG810" s="109"/>
      <c r="HH810" s="110"/>
      <c r="HI810" s="109"/>
      <c r="HJ810" s="111"/>
      <c r="HK810" s="109"/>
      <c r="HL810" s="109"/>
      <c r="HM810" s="110"/>
      <c r="HN810" s="109"/>
      <c r="HO810" s="111"/>
      <c r="HP810" s="109"/>
      <c r="HQ810" s="109"/>
      <c r="HR810" s="110"/>
      <c r="HS810" s="109"/>
      <c r="HT810" s="111"/>
      <c r="HU810" s="109"/>
      <c r="HV810" s="109"/>
      <c r="HW810" s="110"/>
      <c r="HX810" s="109"/>
      <c r="HY810" s="111"/>
      <c r="HZ810" s="109"/>
      <c r="IA810" s="109"/>
      <c r="IB810" s="110"/>
      <c r="IC810" s="109"/>
      <c r="ID810" s="111"/>
      <c r="IE810" s="109"/>
      <c r="IF810" s="109"/>
      <c r="IG810" s="110"/>
      <c r="IH810" s="109"/>
      <c r="II810" s="111"/>
      <c r="IJ810" s="109"/>
      <c r="IK810" s="109"/>
      <c r="IL810" s="110"/>
      <c r="IM810" s="109"/>
      <c r="IN810" s="111"/>
      <c r="IO810" s="109"/>
      <c r="IP810" s="109"/>
      <c r="IQ810" s="110"/>
      <c r="IR810" s="109"/>
      <c r="IS810" s="111"/>
      <c r="IT810" s="109"/>
      <c r="IU810" s="109"/>
      <c r="IV810" s="110"/>
    </row>
    <row r="811" spans="1:256" s="123" customFormat="1" ht="14.25">
      <c r="A811" s="134">
        <v>37032</v>
      </c>
      <c r="B811" s="111">
        <v>49.9764</v>
      </c>
      <c r="C811" s="111">
        <f t="shared" si="13"/>
        <v>0.0499764</v>
      </c>
      <c r="D811" s="111">
        <v>28.5929</v>
      </c>
      <c r="E811" s="111">
        <v>32.577</v>
      </c>
      <c r="F811" s="131"/>
      <c r="G811" s="109"/>
      <c r="H811" s="111"/>
      <c r="I811" s="109"/>
      <c r="J811" s="109"/>
      <c r="K811" s="110"/>
      <c r="L811" s="109"/>
      <c r="M811" s="111"/>
      <c r="N811" s="109"/>
      <c r="O811" s="109"/>
      <c r="P811" s="110"/>
      <c r="Q811" s="109"/>
      <c r="R811" s="111"/>
      <c r="S811" s="109"/>
      <c r="T811" s="109"/>
      <c r="U811" s="110"/>
      <c r="V811" s="109"/>
      <c r="W811" s="111"/>
      <c r="X811" s="109"/>
      <c r="Y811" s="109"/>
      <c r="Z811" s="110"/>
      <c r="AA811" s="109"/>
      <c r="AB811" s="111"/>
      <c r="AC811" s="109"/>
      <c r="AD811" s="109"/>
      <c r="AE811" s="110"/>
      <c r="AF811" s="109"/>
      <c r="AG811" s="111"/>
      <c r="AH811" s="109"/>
      <c r="AI811" s="109"/>
      <c r="AJ811" s="110"/>
      <c r="AK811" s="109"/>
      <c r="AL811" s="111"/>
      <c r="AM811" s="109"/>
      <c r="AN811" s="109"/>
      <c r="AO811" s="110"/>
      <c r="AP811" s="109"/>
      <c r="AQ811" s="111"/>
      <c r="AR811" s="109"/>
      <c r="AS811" s="109"/>
      <c r="AT811" s="110"/>
      <c r="AU811" s="109"/>
      <c r="AV811" s="111"/>
      <c r="AW811" s="109"/>
      <c r="AX811" s="109"/>
      <c r="AY811" s="110"/>
      <c r="AZ811" s="109"/>
      <c r="BA811" s="111"/>
      <c r="BB811" s="109"/>
      <c r="BC811" s="109"/>
      <c r="BD811" s="110"/>
      <c r="BE811" s="109"/>
      <c r="BF811" s="111"/>
      <c r="BG811" s="109"/>
      <c r="BH811" s="109"/>
      <c r="BI811" s="110"/>
      <c r="BJ811" s="109"/>
      <c r="BK811" s="111"/>
      <c r="BL811" s="109"/>
      <c r="BM811" s="109"/>
      <c r="BN811" s="110"/>
      <c r="BO811" s="109"/>
      <c r="BP811" s="111"/>
      <c r="BQ811" s="109"/>
      <c r="BR811" s="109"/>
      <c r="BS811" s="110"/>
      <c r="BT811" s="109"/>
      <c r="BU811" s="111"/>
      <c r="BV811" s="109"/>
      <c r="BW811" s="109"/>
      <c r="BX811" s="110"/>
      <c r="BY811" s="109"/>
      <c r="BZ811" s="111"/>
      <c r="CA811" s="109"/>
      <c r="CB811" s="109"/>
      <c r="CC811" s="110"/>
      <c r="CD811" s="109"/>
      <c r="CE811" s="111"/>
      <c r="CF811" s="109"/>
      <c r="CG811" s="109"/>
      <c r="CH811" s="110"/>
      <c r="CI811" s="109"/>
      <c r="CJ811" s="111"/>
      <c r="CK811" s="109"/>
      <c r="CL811" s="109"/>
      <c r="CM811" s="110"/>
      <c r="CN811" s="109"/>
      <c r="CO811" s="111"/>
      <c r="CP811" s="109"/>
      <c r="CQ811" s="109"/>
      <c r="CR811" s="110"/>
      <c r="CS811" s="109"/>
      <c r="CT811" s="111"/>
      <c r="CU811" s="109"/>
      <c r="CV811" s="109"/>
      <c r="CW811" s="110"/>
      <c r="CX811" s="109"/>
      <c r="CY811" s="111"/>
      <c r="CZ811" s="109"/>
      <c r="DA811" s="109"/>
      <c r="DB811" s="110"/>
      <c r="DC811" s="109"/>
      <c r="DD811" s="111"/>
      <c r="DE811" s="109"/>
      <c r="DF811" s="109"/>
      <c r="DG811" s="110"/>
      <c r="DH811" s="109"/>
      <c r="DI811" s="111"/>
      <c r="DJ811" s="109"/>
      <c r="DK811" s="109"/>
      <c r="DL811" s="110"/>
      <c r="DM811" s="109"/>
      <c r="DN811" s="111"/>
      <c r="DO811" s="109"/>
      <c r="DP811" s="109"/>
      <c r="DQ811" s="110"/>
      <c r="DR811" s="109"/>
      <c r="DS811" s="111"/>
      <c r="DT811" s="109"/>
      <c r="DU811" s="109"/>
      <c r="DV811" s="110"/>
      <c r="DW811" s="109"/>
      <c r="DX811" s="111"/>
      <c r="DY811" s="109"/>
      <c r="DZ811" s="109"/>
      <c r="EA811" s="110"/>
      <c r="EB811" s="109"/>
      <c r="EC811" s="111"/>
      <c r="ED811" s="109"/>
      <c r="EE811" s="109"/>
      <c r="EF811" s="110"/>
      <c r="EG811" s="109"/>
      <c r="EH811" s="111"/>
      <c r="EI811" s="109"/>
      <c r="EJ811" s="109"/>
      <c r="EK811" s="110"/>
      <c r="EL811" s="109"/>
      <c r="EM811" s="111"/>
      <c r="EN811" s="109"/>
      <c r="EO811" s="109"/>
      <c r="EP811" s="110"/>
      <c r="EQ811" s="109"/>
      <c r="ER811" s="111"/>
      <c r="ES811" s="109"/>
      <c r="ET811" s="109"/>
      <c r="EU811" s="110"/>
      <c r="EV811" s="109"/>
      <c r="EW811" s="111"/>
      <c r="EX811" s="109"/>
      <c r="EY811" s="109"/>
      <c r="EZ811" s="110"/>
      <c r="FA811" s="109"/>
      <c r="FB811" s="111"/>
      <c r="FC811" s="109"/>
      <c r="FD811" s="109"/>
      <c r="FE811" s="110"/>
      <c r="FF811" s="109"/>
      <c r="FG811" s="111"/>
      <c r="FH811" s="109"/>
      <c r="FI811" s="109"/>
      <c r="FJ811" s="110"/>
      <c r="FK811" s="109"/>
      <c r="FL811" s="111"/>
      <c r="FM811" s="109"/>
      <c r="FN811" s="109"/>
      <c r="FO811" s="110"/>
      <c r="FP811" s="109"/>
      <c r="FQ811" s="111"/>
      <c r="FR811" s="109"/>
      <c r="FS811" s="109"/>
      <c r="FT811" s="110"/>
      <c r="FU811" s="109"/>
      <c r="FV811" s="111"/>
      <c r="FW811" s="109"/>
      <c r="FX811" s="109"/>
      <c r="FY811" s="110"/>
      <c r="FZ811" s="109"/>
      <c r="GA811" s="111"/>
      <c r="GB811" s="109"/>
      <c r="GC811" s="109"/>
      <c r="GD811" s="110"/>
      <c r="GE811" s="109"/>
      <c r="GF811" s="111"/>
      <c r="GG811" s="109"/>
      <c r="GH811" s="109"/>
      <c r="GI811" s="110"/>
      <c r="GJ811" s="109"/>
      <c r="GK811" s="111"/>
      <c r="GL811" s="109"/>
      <c r="GM811" s="109"/>
      <c r="GN811" s="110"/>
      <c r="GO811" s="109"/>
      <c r="GP811" s="111"/>
      <c r="GQ811" s="109"/>
      <c r="GR811" s="109"/>
      <c r="GS811" s="110"/>
      <c r="GT811" s="109"/>
      <c r="GU811" s="111"/>
      <c r="GV811" s="109"/>
      <c r="GW811" s="109"/>
      <c r="GX811" s="110"/>
      <c r="GY811" s="109"/>
      <c r="GZ811" s="111"/>
      <c r="HA811" s="109"/>
      <c r="HB811" s="109"/>
      <c r="HC811" s="110"/>
      <c r="HD811" s="109"/>
      <c r="HE811" s="111"/>
      <c r="HF811" s="109"/>
      <c r="HG811" s="109"/>
      <c r="HH811" s="110"/>
      <c r="HI811" s="109"/>
      <c r="HJ811" s="111"/>
      <c r="HK811" s="109"/>
      <c r="HL811" s="109"/>
      <c r="HM811" s="110"/>
      <c r="HN811" s="109"/>
      <c r="HO811" s="111"/>
      <c r="HP811" s="109"/>
      <c r="HQ811" s="109"/>
      <c r="HR811" s="110"/>
      <c r="HS811" s="109"/>
      <c r="HT811" s="111"/>
      <c r="HU811" s="109"/>
      <c r="HV811" s="109"/>
      <c r="HW811" s="110"/>
      <c r="HX811" s="109"/>
      <c r="HY811" s="111"/>
      <c r="HZ811" s="109"/>
      <c r="IA811" s="109"/>
      <c r="IB811" s="110"/>
      <c r="IC811" s="109"/>
      <c r="ID811" s="111"/>
      <c r="IE811" s="109"/>
      <c r="IF811" s="109"/>
      <c r="IG811" s="110"/>
      <c r="IH811" s="109"/>
      <c r="II811" s="111"/>
      <c r="IJ811" s="109"/>
      <c r="IK811" s="109"/>
      <c r="IL811" s="110"/>
      <c r="IM811" s="109"/>
      <c r="IN811" s="111"/>
      <c r="IO811" s="109"/>
      <c r="IP811" s="109"/>
      <c r="IQ811" s="110"/>
      <c r="IR811" s="109"/>
      <c r="IS811" s="111"/>
      <c r="IT811" s="109"/>
      <c r="IU811" s="109"/>
      <c r="IV811" s="110"/>
    </row>
    <row r="812" spans="1:256" s="123" customFormat="1" ht="14.25">
      <c r="A812" s="134">
        <v>37033</v>
      </c>
      <c r="B812" s="111">
        <v>51.3324</v>
      </c>
      <c r="C812" s="111">
        <f t="shared" si="13"/>
        <v>0.0513324</v>
      </c>
      <c r="D812" s="111">
        <v>29.3395</v>
      </c>
      <c r="E812" s="111">
        <v>33.5155</v>
      </c>
      <c r="F812" s="131"/>
      <c r="G812" s="109"/>
      <c r="H812" s="111"/>
      <c r="I812" s="109"/>
      <c r="J812" s="109"/>
      <c r="K812" s="110"/>
      <c r="L812" s="109"/>
      <c r="M812" s="111"/>
      <c r="N812" s="109"/>
      <c r="O812" s="109"/>
      <c r="P812" s="110"/>
      <c r="Q812" s="109"/>
      <c r="R812" s="111"/>
      <c r="S812" s="109"/>
      <c r="T812" s="109"/>
      <c r="U812" s="110"/>
      <c r="V812" s="109"/>
      <c r="W812" s="111"/>
      <c r="X812" s="109"/>
      <c r="Y812" s="109"/>
      <c r="Z812" s="110"/>
      <c r="AA812" s="109"/>
      <c r="AB812" s="111"/>
      <c r="AC812" s="109"/>
      <c r="AD812" s="109"/>
      <c r="AE812" s="110"/>
      <c r="AF812" s="109"/>
      <c r="AG812" s="111"/>
      <c r="AH812" s="109"/>
      <c r="AI812" s="109"/>
      <c r="AJ812" s="110"/>
      <c r="AK812" s="109"/>
      <c r="AL812" s="111"/>
      <c r="AM812" s="109"/>
      <c r="AN812" s="109"/>
      <c r="AO812" s="110"/>
      <c r="AP812" s="109"/>
      <c r="AQ812" s="111"/>
      <c r="AR812" s="109"/>
      <c r="AS812" s="109"/>
      <c r="AT812" s="110"/>
      <c r="AU812" s="109"/>
      <c r="AV812" s="111"/>
      <c r="AW812" s="109"/>
      <c r="AX812" s="109"/>
      <c r="AY812" s="110"/>
      <c r="AZ812" s="109"/>
      <c r="BA812" s="111"/>
      <c r="BB812" s="109"/>
      <c r="BC812" s="109"/>
      <c r="BD812" s="110"/>
      <c r="BE812" s="109"/>
      <c r="BF812" s="111"/>
      <c r="BG812" s="109"/>
      <c r="BH812" s="109"/>
      <c r="BI812" s="110"/>
      <c r="BJ812" s="109"/>
      <c r="BK812" s="111"/>
      <c r="BL812" s="109"/>
      <c r="BM812" s="109"/>
      <c r="BN812" s="110"/>
      <c r="BO812" s="109"/>
      <c r="BP812" s="111"/>
      <c r="BQ812" s="109"/>
      <c r="BR812" s="109"/>
      <c r="BS812" s="110"/>
      <c r="BT812" s="109"/>
      <c r="BU812" s="111"/>
      <c r="BV812" s="109"/>
      <c r="BW812" s="109"/>
      <c r="BX812" s="110"/>
      <c r="BY812" s="109"/>
      <c r="BZ812" s="111"/>
      <c r="CA812" s="109"/>
      <c r="CB812" s="109"/>
      <c r="CC812" s="110"/>
      <c r="CD812" s="109"/>
      <c r="CE812" s="111"/>
      <c r="CF812" s="109"/>
      <c r="CG812" s="109"/>
      <c r="CH812" s="110"/>
      <c r="CI812" s="109"/>
      <c r="CJ812" s="111"/>
      <c r="CK812" s="109"/>
      <c r="CL812" s="109"/>
      <c r="CM812" s="110"/>
      <c r="CN812" s="109"/>
      <c r="CO812" s="111"/>
      <c r="CP812" s="109"/>
      <c r="CQ812" s="109"/>
      <c r="CR812" s="110"/>
      <c r="CS812" s="109"/>
      <c r="CT812" s="111"/>
      <c r="CU812" s="109"/>
      <c r="CV812" s="109"/>
      <c r="CW812" s="110"/>
      <c r="CX812" s="109"/>
      <c r="CY812" s="111"/>
      <c r="CZ812" s="109"/>
      <c r="DA812" s="109"/>
      <c r="DB812" s="110"/>
      <c r="DC812" s="109"/>
      <c r="DD812" s="111"/>
      <c r="DE812" s="109"/>
      <c r="DF812" s="109"/>
      <c r="DG812" s="110"/>
      <c r="DH812" s="109"/>
      <c r="DI812" s="111"/>
      <c r="DJ812" s="109"/>
      <c r="DK812" s="109"/>
      <c r="DL812" s="110"/>
      <c r="DM812" s="109"/>
      <c r="DN812" s="111"/>
      <c r="DO812" s="109"/>
      <c r="DP812" s="109"/>
      <c r="DQ812" s="110"/>
      <c r="DR812" s="109"/>
      <c r="DS812" s="111"/>
      <c r="DT812" s="109"/>
      <c r="DU812" s="109"/>
      <c r="DV812" s="110"/>
      <c r="DW812" s="109"/>
      <c r="DX812" s="111"/>
      <c r="DY812" s="109"/>
      <c r="DZ812" s="109"/>
      <c r="EA812" s="110"/>
      <c r="EB812" s="109"/>
      <c r="EC812" s="111"/>
      <c r="ED812" s="109"/>
      <c r="EE812" s="109"/>
      <c r="EF812" s="110"/>
      <c r="EG812" s="109"/>
      <c r="EH812" s="111"/>
      <c r="EI812" s="109"/>
      <c r="EJ812" s="109"/>
      <c r="EK812" s="110"/>
      <c r="EL812" s="109"/>
      <c r="EM812" s="111"/>
      <c r="EN812" s="109"/>
      <c r="EO812" s="109"/>
      <c r="EP812" s="110"/>
      <c r="EQ812" s="109"/>
      <c r="ER812" s="111"/>
      <c r="ES812" s="109"/>
      <c r="ET812" s="109"/>
      <c r="EU812" s="110"/>
      <c r="EV812" s="109"/>
      <c r="EW812" s="111"/>
      <c r="EX812" s="109"/>
      <c r="EY812" s="109"/>
      <c r="EZ812" s="110"/>
      <c r="FA812" s="109"/>
      <c r="FB812" s="111"/>
      <c r="FC812" s="109"/>
      <c r="FD812" s="109"/>
      <c r="FE812" s="110"/>
      <c r="FF812" s="109"/>
      <c r="FG812" s="111"/>
      <c r="FH812" s="109"/>
      <c r="FI812" s="109"/>
      <c r="FJ812" s="110"/>
      <c r="FK812" s="109"/>
      <c r="FL812" s="111"/>
      <c r="FM812" s="109"/>
      <c r="FN812" s="109"/>
      <c r="FO812" s="110"/>
      <c r="FP812" s="109"/>
      <c r="FQ812" s="111"/>
      <c r="FR812" s="109"/>
      <c r="FS812" s="109"/>
      <c r="FT812" s="110"/>
      <c r="FU812" s="109"/>
      <c r="FV812" s="111"/>
      <c r="FW812" s="109"/>
      <c r="FX812" s="109"/>
      <c r="FY812" s="110"/>
      <c r="FZ812" s="109"/>
      <c r="GA812" s="111"/>
      <c r="GB812" s="109"/>
      <c r="GC812" s="109"/>
      <c r="GD812" s="110"/>
      <c r="GE812" s="109"/>
      <c r="GF812" s="111"/>
      <c r="GG812" s="109"/>
      <c r="GH812" s="109"/>
      <c r="GI812" s="110"/>
      <c r="GJ812" s="109"/>
      <c r="GK812" s="111"/>
      <c r="GL812" s="109"/>
      <c r="GM812" s="109"/>
      <c r="GN812" s="110"/>
      <c r="GO812" s="109"/>
      <c r="GP812" s="111"/>
      <c r="GQ812" s="109"/>
      <c r="GR812" s="109"/>
      <c r="GS812" s="110"/>
      <c r="GT812" s="109"/>
      <c r="GU812" s="111"/>
      <c r="GV812" s="109"/>
      <c r="GW812" s="109"/>
      <c r="GX812" s="110"/>
      <c r="GY812" s="109"/>
      <c r="GZ812" s="111"/>
      <c r="HA812" s="109"/>
      <c r="HB812" s="109"/>
      <c r="HC812" s="110"/>
      <c r="HD812" s="109"/>
      <c r="HE812" s="111"/>
      <c r="HF812" s="109"/>
      <c r="HG812" s="109"/>
      <c r="HH812" s="110"/>
      <c r="HI812" s="109"/>
      <c r="HJ812" s="111"/>
      <c r="HK812" s="109"/>
      <c r="HL812" s="109"/>
      <c r="HM812" s="110"/>
      <c r="HN812" s="109"/>
      <c r="HO812" s="111"/>
      <c r="HP812" s="109"/>
      <c r="HQ812" s="109"/>
      <c r="HR812" s="110"/>
      <c r="HS812" s="109"/>
      <c r="HT812" s="111"/>
      <c r="HU812" s="109"/>
      <c r="HV812" s="109"/>
      <c r="HW812" s="110"/>
      <c r="HX812" s="109"/>
      <c r="HY812" s="111"/>
      <c r="HZ812" s="109"/>
      <c r="IA812" s="109"/>
      <c r="IB812" s="110"/>
      <c r="IC812" s="109"/>
      <c r="ID812" s="111"/>
      <c r="IE812" s="109"/>
      <c r="IF812" s="109"/>
      <c r="IG812" s="110"/>
      <c r="IH812" s="109"/>
      <c r="II812" s="111"/>
      <c r="IJ812" s="109"/>
      <c r="IK812" s="109"/>
      <c r="IL812" s="110"/>
      <c r="IM812" s="109"/>
      <c r="IN812" s="111"/>
      <c r="IO812" s="109"/>
      <c r="IP812" s="109"/>
      <c r="IQ812" s="110"/>
      <c r="IR812" s="109"/>
      <c r="IS812" s="111"/>
      <c r="IT812" s="109"/>
      <c r="IU812" s="109"/>
      <c r="IV812" s="110"/>
    </row>
    <row r="813" spans="1:256" s="123" customFormat="1" ht="14.25">
      <c r="A813" s="134">
        <v>37034</v>
      </c>
      <c r="B813" s="111">
        <v>46.5705</v>
      </c>
      <c r="C813" s="111">
        <f t="shared" si="13"/>
        <v>0.0465705</v>
      </c>
      <c r="D813" s="111">
        <v>26.4062</v>
      </c>
      <c r="E813" s="111">
        <v>30.4044</v>
      </c>
      <c r="F813" s="131"/>
      <c r="G813" s="109"/>
      <c r="H813" s="111"/>
      <c r="I813" s="109"/>
      <c r="J813" s="109"/>
      <c r="K813" s="110"/>
      <c r="L813" s="109"/>
      <c r="M813" s="111"/>
      <c r="N813" s="109"/>
      <c r="O813" s="109"/>
      <c r="P813" s="110"/>
      <c r="Q813" s="109"/>
      <c r="R813" s="111"/>
      <c r="S813" s="109"/>
      <c r="T813" s="109"/>
      <c r="U813" s="110"/>
      <c r="V813" s="109"/>
      <c r="W813" s="111"/>
      <c r="X813" s="109"/>
      <c r="Y813" s="109"/>
      <c r="Z813" s="110"/>
      <c r="AA813" s="109"/>
      <c r="AB813" s="111"/>
      <c r="AC813" s="109"/>
      <c r="AD813" s="109"/>
      <c r="AE813" s="110"/>
      <c r="AF813" s="109"/>
      <c r="AG813" s="111"/>
      <c r="AH813" s="109"/>
      <c r="AI813" s="109"/>
      <c r="AJ813" s="110"/>
      <c r="AK813" s="109"/>
      <c r="AL813" s="111"/>
      <c r="AM813" s="109"/>
      <c r="AN813" s="109"/>
      <c r="AO813" s="110"/>
      <c r="AP813" s="109"/>
      <c r="AQ813" s="111"/>
      <c r="AR813" s="109"/>
      <c r="AS813" s="109"/>
      <c r="AT813" s="110"/>
      <c r="AU813" s="109"/>
      <c r="AV813" s="111"/>
      <c r="AW813" s="109"/>
      <c r="AX813" s="109"/>
      <c r="AY813" s="110"/>
      <c r="AZ813" s="109"/>
      <c r="BA813" s="111"/>
      <c r="BB813" s="109"/>
      <c r="BC813" s="109"/>
      <c r="BD813" s="110"/>
      <c r="BE813" s="109"/>
      <c r="BF813" s="111"/>
      <c r="BG813" s="109"/>
      <c r="BH813" s="109"/>
      <c r="BI813" s="110"/>
      <c r="BJ813" s="109"/>
      <c r="BK813" s="111"/>
      <c r="BL813" s="109"/>
      <c r="BM813" s="109"/>
      <c r="BN813" s="110"/>
      <c r="BO813" s="109"/>
      <c r="BP813" s="111"/>
      <c r="BQ813" s="109"/>
      <c r="BR813" s="109"/>
      <c r="BS813" s="110"/>
      <c r="BT813" s="109"/>
      <c r="BU813" s="111"/>
      <c r="BV813" s="109"/>
      <c r="BW813" s="109"/>
      <c r="BX813" s="110"/>
      <c r="BY813" s="109"/>
      <c r="BZ813" s="111"/>
      <c r="CA813" s="109"/>
      <c r="CB813" s="109"/>
      <c r="CC813" s="110"/>
      <c r="CD813" s="109"/>
      <c r="CE813" s="111"/>
      <c r="CF813" s="109"/>
      <c r="CG813" s="109"/>
      <c r="CH813" s="110"/>
      <c r="CI813" s="109"/>
      <c r="CJ813" s="111"/>
      <c r="CK813" s="109"/>
      <c r="CL813" s="109"/>
      <c r="CM813" s="110"/>
      <c r="CN813" s="109"/>
      <c r="CO813" s="111"/>
      <c r="CP813" s="109"/>
      <c r="CQ813" s="109"/>
      <c r="CR813" s="110"/>
      <c r="CS813" s="109"/>
      <c r="CT813" s="111"/>
      <c r="CU813" s="109"/>
      <c r="CV813" s="109"/>
      <c r="CW813" s="110"/>
      <c r="CX813" s="109"/>
      <c r="CY813" s="111"/>
      <c r="CZ813" s="109"/>
      <c r="DA813" s="109"/>
      <c r="DB813" s="110"/>
      <c r="DC813" s="109"/>
      <c r="DD813" s="111"/>
      <c r="DE813" s="109"/>
      <c r="DF813" s="109"/>
      <c r="DG813" s="110"/>
      <c r="DH813" s="109"/>
      <c r="DI813" s="111"/>
      <c r="DJ813" s="109"/>
      <c r="DK813" s="109"/>
      <c r="DL813" s="110"/>
      <c r="DM813" s="109"/>
      <c r="DN813" s="111"/>
      <c r="DO813" s="109"/>
      <c r="DP813" s="109"/>
      <c r="DQ813" s="110"/>
      <c r="DR813" s="109"/>
      <c r="DS813" s="111"/>
      <c r="DT813" s="109"/>
      <c r="DU813" s="109"/>
      <c r="DV813" s="110"/>
      <c r="DW813" s="109"/>
      <c r="DX813" s="111"/>
      <c r="DY813" s="109"/>
      <c r="DZ813" s="109"/>
      <c r="EA813" s="110"/>
      <c r="EB813" s="109"/>
      <c r="EC813" s="111"/>
      <c r="ED813" s="109"/>
      <c r="EE813" s="109"/>
      <c r="EF813" s="110"/>
      <c r="EG813" s="109"/>
      <c r="EH813" s="111"/>
      <c r="EI813" s="109"/>
      <c r="EJ813" s="109"/>
      <c r="EK813" s="110"/>
      <c r="EL813" s="109"/>
      <c r="EM813" s="111"/>
      <c r="EN813" s="109"/>
      <c r="EO813" s="109"/>
      <c r="EP813" s="110"/>
      <c r="EQ813" s="109"/>
      <c r="ER813" s="111"/>
      <c r="ES813" s="109"/>
      <c r="ET813" s="109"/>
      <c r="EU813" s="110"/>
      <c r="EV813" s="109"/>
      <c r="EW813" s="111"/>
      <c r="EX813" s="109"/>
      <c r="EY813" s="109"/>
      <c r="EZ813" s="110"/>
      <c r="FA813" s="109"/>
      <c r="FB813" s="111"/>
      <c r="FC813" s="109"/>
      <c r="FD813" s="109"/>
      <c r="FE813" s="110"/>
      <c r="FF813" s="109"/>
      <c r="FG813" s="111"/>
      <c r="FH813" s="109"/>
      <c r="FI813" s="109"/>
      <c r="FJ813" s="110"/>
      <c r="FK813" s="109"/>
      <c r="FL813" s="111"/>
      <c r="FM813" s="109"/>
      <c r="FN813" s="109"/>
      <c r="FO813" s="110"/>
      <c r="FP813" s="109"/>
      <c r="FQ813" s="111"/>
      <c r="FR813" s="109"/>
      <c r="FS813" s="109"/>
      <c r="FT813" s="110"/>
      <c r="FU813" s="109"/>
      <c r="FV813" s="111"/>
      <c r="FW813" s="109"/>
      <c r="FX813" s="109"/>
      <c r="FY813" s="110"/>
      <c r="FZ813" s="109"/>
      <c r="GA813" s="111"/>
      <c r="GB813" s="109"/>
      <c r="GC813" s="109"/>
      <c r="GD813" s="110"/>
      <c r="GE813" s="109"/>
      <c r="GF813" s="111"/>
      <c r="GG813" s="109"/>
      <c r="GH813" s="109"/>
      <c r="GI813" s="110"/>
      <c r="GJ813" s="109"/>
      <c r="GK813" s="111"/>
      <c r="GL813" s="109"/>
      <c r="GM813" s="109"/>
      <c r="GN813" s="110"/>
      <c r="GO813" s="109"/>
      <c r="GP813" s="111"/>
      <c r="GQ813" s="109"/>
      <c r="GR813" s="109"/>
      <c r="GS813" s="110"/>
      <c r="GT813" s="109"/>
      <c r="GU813" s="111"/>
      <c r="GV813" s="109"/>
      <c r="GW813" s="109"/>
      <c r="GX813" s="110"/>
      <c r="GY813" s="109"/>
      <c r="GZ813" s="111"/>
      <c r="HA813" s="109"/>
      <c r="HB813" s="109"/>
      <c r="HC813" s="110"/>
      <c r="HD813" s="109"/>
      <c r="HE813" s="111"/>
      <c r="HF813" s="109"/>
      <c r="HG813" s="109"/>
      <c r="HH813" s="110"/>
      <c r="HI813" s="109"/>
      <c r="HJ813" s="111"/>
      <c r="HK813" s="109"/>
      <c r="HL813" s="109"/>
      <c r="HM813" s="110"/>
      <c r="HN813" s="109"/>
      <c r="HO813" s="111"/>
      <c r="HP813" s="109"/>
      <c r="HQ813" s="109"/>
      <c r="HR813" s="110"/>
      <c r="HS813" s="109"/>
      <c r="HT813" s="111"/>
      <c r="HU813" s="109"/>
      <c r="HV813" s="109"/>
      <c r="HW813" s="110"/>
      <c r="HX813" s="109"/>
      <c r="HY813" s="111"/>
      <c r="HZ813" s="109"/>
      <c r="IA813" s="109"/>
      <c r="IB813" s="110"/>
      <c r="IC813" s="109"/>
      <c r="ID813" s="111"/>
      <c r="IE813" s="109"/>
      <c r="IF813" s="109"/>
      <c r="IG813" s="110"/>
      <c r="IH813" s="109"/>
      <c r="II813" s="111"/>
      <c r="IJ813" s="109"/>
      <c r="IK813" s="109"/>
      <c r="IL813" s="110"/>
      <c r="IM813" s="109"/>
      <c r="IN813" s="111"/>
      <c r="IO813" s="109"/>
      <c r="IP813" s="109"/>
      <c r="IQ813" s="110"/>
      <c r="IR813" s="109"/>
      <c r="IS813" s="111"/>
      <c r="IT813" s="109"/>
      <c r="IU813" s="109"/>
      <c r="IV813" s="110"/>
    </row>
    <row r="814" spans="1:256" s="123" customFormat="1" ht="14.25">
      <c r="A814" s="134">
        <v>37036</v>
      </c>
      <c r="B814" s="111">
        <v>35.8084</v>
      </c>
      <c r="C814" s="111">
        <f t="shared" si="13"/>
        <v>0.0358084</v>
      </c>
      <c r="D814" s="111">
        <v>20.1333</v>
      </c>
      <c r="E814" s="111">
        <v>23.4517</v>
      </c>
      <c r="F814" s="131"/>
      <c r="G814" s="109"/>
      <c r="H814" s="111"/>
      <c r="I814" s="109"/>
      <c r="J814" s="109"/>
      <c r="K814" s="110"/>
      <c r="L814" s="109"/>
      <c r="M814" s="111"/>
      <c r="N814" s="109"/>
      <c r="O814" s="109"/>
      <c r="P814" s="110"/>
      <c r="Q814" s="109"/>
      <c r="R814" s="111"/>
      <c r="S814" s="109"/>
      <c r="T814" s="109"/>
      <c r="U814" s="110"/>
      <c r="V814" s="109"/>
      <c r="W814" s="111"/>
      <c r="X814" s="109"/>
      <c r="Y814" s="109"/>
      <c r="Z814" s="110"/>
      <c r="AA814" s="109"/>
      <c r="AB814" s="111"/>
      <c r="AC814" s="109"/>
      <c r="AD814" s="109"/>
      <c r="AE814" s="110"/>
      <c r="AF814" s="109"/>
      <c r="AG814" s="111"/>
      <c r="AH814" s="109"/>
      <c r="AI814" s="109"/>
      <c r="AJ814" s="110"/>
      <c r="AK814" s="109"/>
      <c r="AL814" s="111"/>
      <c r="AM814" s="109"/>
      <c r="AN814" s="109"/>
      <c r="AO814" s="110"/>
      <c r="AP814" s="109"/>
      <c r="AQ814" s="111"/>
      <c r="AR814" s="109"/>
      <c r="AS814" s="109"/>
      <c r="AT814" s="110"/>
      <c r="AU814" s="109"/>
      <c r="AV814" s="111"/>
      <c r="AW814" s="109"/>
      <c r="AX814" s="109"/>
      <c r="AY814" s="110"/>
      <c r="AZ814" s="109"/>
      <c r="BA814" s="111"/>
      <c r="BB814" s="109"/>
      <c r="BC814" s="109"/>
      <c r="BD814" s="110"/>
      <c r="BE814" s="109"/>
      <c r="BF814" s="111"/>
      <c r="BG814" s="109"/>
      <c r="BH814" s="109"/>
      <c r="BI814" s="110"/>
      <c r="BJ814" s="109"/>
      <c r="BK814" s="111"/>
      <c r="BL814" s="109"/>
      <c r="BM814" s="109"/>
      <c r="BN814" s="110"/>
      <c r="BO814" s="109"/>
      <c r="BP814" s="111"/>
      <c r="BQ814" s="109"/>
      <c r="BR814" s="109"/>
      <c r="BS814" s="110"/>
      <c r="BT814" s="109"/>
      <c r="BU814" s="111"/>
      <c r="BV814" s="109"/>
      <c r="BW814" s="109"/>
      <c r="BX814" s="110"/>
      <c r="BY814" s="109"/>
      <c r="BZ814" s="111"/>
      <c r="CA814" s="109"/>
      <c r="CB814" s="109"/>
      <c r="CC814" s="110"/>
      <c r="CD814" s="109"/>
      <c r="CE814" s="111"/>
      <c r="CF814" s="109"/>
      <c r="CG814" s="109"/>
      <c r="CH814" s="110"/>
      <c r="CI814" s="109"/>
      <c r="CJ814" s="111"/>
      <c r="CK814" s="109"/>
      <c r="CL814" s="109"/>
      <c r="CM814" s="110"/>
      <c r="CN814" s="109"/>
      <c r="CO814" s="111"/>
      <c r="CP814" s="109"/>
      <c r="CQ814" s="109"/>
      <c r="CR814" s="110"/>
      <c r="CS814" s="109"/>
      <c r="CT814" s="111"/>
      <c r="CU814" s="109"/>
      <c r="CV814" s="109"/>
      <c r="CW814" s="110"/>
      <c r="CX814" s="109"/>
      <c r="CY814" s="111"/>
      <c r="CZ814" s="109"/>
      <c r="DA814" s="109"/>
      <c r="DB814" s="110"/>
      <c r="DC814" s="109"/>
      <c r="DD814" s="111"/>
      <c r="DE814" s="109"/>
      <c r="DF814" s="109"/>
      <c r="DG814" s="110"/>
      <c r="DH814" s="109"/>
      <c r="DI814" s="111"/>
      <c r="DJ814" s="109"/>
      <c r="DK814" s="109"/>
      <c r="DL814" s="110"/>
      <c r="DM814" s="109"/>
      <c r="DN814" s="111"/>
      <c r="DO814" s="109"/>
      <c r="DP814" s="109"/>
      <c r="DQ814" s="110"/>
      <c r="DR814" s="109"/>
      <c r="DS814" s="111"/>
      <c r="DT814" s="109"/>
      <c r="DU814" s="109"/>
      <c r="DV814" s="110"/>
      <c r="DW814" s="109"/>
      <c r="DX814" s="111"/>
      <c r="DY814" s="109"/>
      <c r="DZ814" s="109"/>
      <c r="EA814" s="110"/>
      <c r="EB814" s="109"/>
      <c r="EC814" s="111"/>
      <c r="ED814" s="109"/>
      <c r="EE814" s="109"/>
      <c r="EF814" s="110"/>
      <c r="EG814" s="109"/>
      <c r="EH814" s="111"/>
      <c r="EI814" s="109"/>
      <c r="EJ814" s="109"/>
      <c r="EK814" s="110"/>
      <c r="EL814" s="109"/>
      <c r="EM814" s="111"/>
      <c r="EN814" s="109"/>
      <c r="EO814" s="109"/>
      <c r="EP814" s="110"/>
      <c r="EQ814" s="109"/>
      <c r="ER814" s="111"/>
      <c r="ES814" s="109"/>
      <c r="ET814" s="109"/>
      <c r="EU814" s="110"/>
      <c r="EV814" s="109"/>
      <c r="EW814" s="111"/>
      <c r="EX814" s="109"/>
      <c r="EY814" s="109"/>
      <c r="EZ814" s="110"/>
      <c r="FA814" s="109"/>
      <c r="FB814" s="111"/>
      <c r="FC814" s="109"/>
      <c r="FD814" s="109"/>
      <c r="FE814" s="110"/>
      <c r="FF814" s="109"/>
      <c r="FG814" s="111"/>
      <c r="FH814" s="109"/>
      <c r="FI814" s="109"/>
      <c r="FJ814" s="110"/>
      <c r="FK814" s="109"/>
      <c r="FL814" s="111"/>
      <c r="FM814" s="109"/>
      <c r="FN814" s="109"/>
      <c r="FO814" s="110"/>
      <c r="FP814" s="109"/>
      <c r="FQ814" s="111"/>
      <c r="FR814" s="109"/>
      <c r="FS814" s="109"/>
      <c r="FT814" s="110"/>
      <c r="FU814" s="109"/>
      <c r="FV814" s="111"/>
      <c r="FW814" s="109"/>
      <c r="FX814" s="109"/>
      <c r="FY814" s="110"/>
      <c r="FZ814" s="109"/>
      <c r="GA814" s="111"/>
      <c r="GB814" s="109"/>
      <c r="GC814" s="109"/>
      <c r="GD814" s="110"/>
      <c r="GE814" s="109"/>
      <c r="GF814" s="111"/>
      <c r="GG814" s="109"/>
      <c r="GH814" s="109"/>
      <c r="GI814" s="110"/>
      <c r="GJ814" s="109"/>
      <c r="GK814" s="111"/>
      <c r="GL814" s="109"/>
      <c r="GM814" s="109"/>
      <c r="GN814" s="110"/>
      <c r="GO814" s="109"/>
      <c r="GP814" s="111"/>
      <c r="GQ814" s="109"/>
      <c r="GR814" s="109"/>
      <c r="GS814" s="110"/>
      <c r="GT814" s="109"/>
      <c r="GU814" s="111"/>
      <c r="GV814" s="109"/>
      <c r="GW814" s="109"/>
      <c r="GX814" s="110"/>
      <c r="GY814" s="109"/>
      <c r="GZ814" s="111"/>
      <c r="HA814" s="109"/>
      <c r="HB814" s="109"/>
      <c r="HC814" s="110"/>
      <c r="HD814" s="109"/>
      <c r="HE814" s="111"/>
      <c r="HF814" s="109"/>
      <c r="HG814" s="109"/>
      <c r="HH814" s="110"/>
      <c r="HI814" s="109"/>
      <c r="HJ814" s="111"/>
      <c r="HK814" s="109"/>
      <c r="HL814" s="109"/>
      <c r="HM814" s="110"/>
      <c r="HN814" s="109"/>
      <c r="HO814" s="111"/>
      <c r="HP814" s="109"/>
      <c r="HQ814" s="109"/>
      <c r="HR814" s="110"/>
      <c r="HS814" s="109"/>
      <c r="HT814" s="111"/>
      <c r="HU814" s="109"/>
      <c r="HV814" s="109"/>
      <c r="HW814" s="110"/>
      <c r="HX814" s="109"/>
      <c r="HY814" s="111"/>
      <c r="HZ814" s="109"/>
      <c r="IA814" s="109"/>
      <c r="IB814" s="110"/>
      <c r="IC814" s="109"/>
      <c r="ID814" s="111"/>
      <c r="IE814" s="109"/>
      <c r="IF814" s="109"/>
      <c r="IG814" s="110"/>
      <c r="IH814" s="109"/>
      <c r="II814" s="111"/>
      <c r="IJ814" s="109"/>
      <c r="IK814" s="109"/>
      <c r="IL814" s="110"/>
      <c r="IM814" s="109"/>
      <c r="IN814" s="111"/>
      <c r="IO814" s="109"/>
      <c r="IP814" s="109"/>
      <c r="IQ814" s="110"/>
      <c r="IR814" s="109"/>
      <c r="IS814" s="111"/>
      <c r="IT814" s="109"/>
      <c r="IU814" s="109"/>
      <c r="IV814" s="110"/>
    </row>
    <row r="815" spans="1:256" s="123" customFormat="1" ht="14.25">
      <c r="A815" s="134">
        <v>37039</v>
      </c>
      <c r="B815" s="111">
        <v>45.8238</v>
      </c>
      <c r="C815" s="111">
        <f t="shared" si="13"/>
        <v>0.0458238</v>
      </c>
      <c r="D815" s="111">
        <v>25.7774</v>
      </c>
      <c r="E815" s="111">
        <v>30.0051</v>
      </c>
      <c r="F815" s="131"/>
      <c r="G815" s="109"/>
      <c r="H815" s="111"/>
      <c r="I815" s="109"/>
      <c r="J815" s="109"/>
      <c r="K815" s="110"/>
      <c r="L815" s="109"/>
      <c r="M815" s="111"/>
      <c r="N815" s="109"/>
      <c r="O815" s="109"/>
      <c r="P815" s="110"/>
      <c r="Q815" s="109"/>
      <c r="R815" s="111"/>
      <c r="S815" s="109"/>
      <c r="T815" s="109"/>
      <c r="U815" s="110"/>
      <c r="V815" s="109"/>
      <c r="W815" s="111"/>
      <c r="X815" s="109"/>
      <c r="Y815" s="109"/>
      <c r="Z815" s="110"/>
      <c r="AA815" s="109"/>
      <c r="AB815" s="111"/>
      <c r="AC815" s="109"/>
      <c r="AD815" s="109"/>
      <c r="AE815" s="110"/>
      <c r="AF815" s="109"/>
      <c r="AG815" s="111"/>
      <c r="AH815" s="109"/>
      <c r="AI815" s="109"/>
      <c r="AJ815" s="110"/>
      <c r="AK815" s="109"/>
      <c r="AL815" s="111"/>
      <c r="AM815" s="109"/>
      <c r="AN815" s="109"/>
      <c r="AO815" s="110"/>
      <c r="AP815" s="109"/>
      <c r="AQ815" s="111"/>
      <c r="AR815" s="109"/>
      <c r="AS815" s="109"/>
      <c r="AT815" s="110"/>
      <c r="AU815" s="109"/>
      <c r="AV815" s="111"/>
      <c r="AW815" s="109"/>
      <c r="AX815" s="109"/>
      <c r="AY815" s="110"/>
      <c r="AZ815" s="109"/>
      <c r="BA815" s="111"/>
      <c r="BB815" s="109"/>
      <c r="BC815" s="109"/>
      <c r="BD815" s="110"/>
      <c r="BE815" s="109"/>
      <c r="BF815" s="111"/>
      <c r="BG815" s="109"/>
      <c r="BH815" s="109"/>
      <c r="BI815" s="110"/>
      <c r="BJ815" s="109"/>
      <c r="BK815" s="111"/>
      <c r="BL815" s="109"/>
      <c r="BM815" s="109"/>
      <c r="BN815" s="110"/>
      <c r="BO815" s="109"/>
      <c r="BP815" s="111"/>
      <c r="BQ815" s="109"/>
      <c r="BR815" s="109"/>
      <c r="BS815" s="110"/>
      <c r="BT815" s="109"/>
      <c r="BU815" s="111"/>
      <c r="BV815" s="109"/>
      <c r="BW815" s="109"/>
      <c r="BX815" s="110"/>
      <c r="BY815" s="109"/>
      <c r="BZ815" s="111"/>
      <c r="CA815" s="109"/>
      <c r="CB815" s="109"/>
      <c r="CC815" s="110"/>
      <c r="CD815" s="109"/>
      <c r="CE815" s="111"/>
      <c r="CF815" s="109"/>
      <c r="CG815" s="109"/>
      <c r="CH815" s="110"/>
      <c r="CI815" s="109"/>
      <c r="CJ815" s="111"/>
      <c r="CK815" s="109"/>
      <c r="CL815" s="109"/>
      <c r="CM815" s="110"/>
      <c r="CN815" s="109"/>
      <c r="CO815" s="111"/>
      <c r="CP815" s="109"/>
      <c r="CQ815" s="109"/>
      <c r="CR815" s="110"/>
      <c r="CS815" s="109"/>
      <c r="CT815" s="111"/>
      <c r="CU815" s="109"/>
      <c r="CV815" s="109"/>
      <c r="CW815" s="110"/>
      <c r="CX815" s="109"/>
      <c r="CY815" s="111"/>
      <c r="CZ815" s="109"/>
      <c r="DA815" s="109"/>
      <c r="DB815" s="110"/>
      <c r="DC815" s="109"/>
      <c r="DD815" s="111"/>
      <c r="DE815" s="109"/>
      <c r="DF815" s="109"/>
      <c r="DG815" s="110"/>
      <c r="DH815" s="109"/>
      <c r="DI815" s="111"/>
      <c r="DJ815" s="109"/>
      <c r="DK815" s="109"/>
      <c r="DL815" s="110"/>
      <c r="DM815" s="109"/>
      <c r="DN815" s="111"/>
      <c r="DO815" s="109"/>
      <c r="DP815" s="109"/>
      <c r="DQ815" s="110"/>
      <c r="DR815" s="109"/>
      <c r="DS815" s="111"/>
      <c r="DT815" s="109"/>
      <c r="DU815" s="109"/>
      <c r="DV815" s="110"/>
      <c r="DW815" s="109"/>
      <c r="DX815" s="111"/>
      <c r="DY815" s="109"/>
      <c r="DZ815" s="109"/>
      <c r="EA815" s="110"/>
      <c r="EB815" s="109"/>
      <c r="EC815" s="111"/>
      <c r="ED815" s="109"/>
      <c r="EE815" s="109"/>
      <c r="EF815" s="110"/>
      <c r="EG815" s="109"/>
      <c r="EH815" s="111"/>
      <c r="EI815" s="109"/>
      <c r="EJ815" s="109"/>
      <c r="EK815" s="110"/>
      <c r="EL815" s="109"/>
      <c r="EM815" s="111"/>
      <c r="EN815" s="109"/>
      <c r="EO815" s="109"/>
      <c r="EP815" s="110"/>
      <c r="EQ815" s="109"/>
      <c r="ER815" s="111"/>
      <c r="ES815" s="109"/>
      <c r="ET815" s="109"/>
      <c r="EU815" s="110"/>
      <c r="EV815" s="109"/>
      <c r="EW815" s="111"/>
      <c r="EX815" s="109"/>
      <c r="EY815" s="109"/>
      <c r="EZ815" s="110"/>
      <c r="FA815" s="109"/>
      <c r="FB815" s="111"/>
      <c r="FC815" s="109"/>
      <c r="FD815" s="109"/>
      <c r="FE815" s="110"/>
      <c r="FF815" s="109"/>
      <c r="FG815" s="111"/>
      <c r="FH815" s="109"/>
      <c r="FI815" s="109"/>
      <c r="FJ815" s="110"/>
      <c r="FK815" s="109"/>
      <c r="FL815" s="111"/>
      <c r="FM815" s="109"/>
      <c r="FN815" s="109"/>
      <c r="FO815" s="110"/>
      <c r="FP815" s="109"/>
      <c r="FQ815" s="111"/>
      <c r="FR815" s="109"/>
      <c r="FS815" s="109"/>
      <c r="FT815" s="110"/>
      <c r="FU815" s="109"/>
      <c r="FV815" s="111"/>
      <c r="FW815" s="109"/>
      <c r="FX815" s="109"/>
      <c r="FY815" s="110"/>
      <c r="FZ815" s="109"/>
      <c r="GA815" s="111"/>
      <c r="GB815" s="109"/>
      <c r="GC815" s="109"/>
      <c r="GD815" s="110"/>
      <c r="GE815" s="109"/>
      <c r="GF815" s="111"/>
      <c r="GG815" s="109"/>
      <c r="GH815" s="109"/>
      <c r="GI815" s="110"/>
      <c r="GJ815" s="109"/>
      <c r="GK815" s="111"/>
      <c r="GL815" s="109"/>
      <c r="GM815" s="109"/>
      <c r="GN815" s="110"/>
      <c r="GO815" s="109"/>
      <c r="GP815" s="111"/>
      <c r="GQ815" s="109"/>
      <c r="GR815" s="109"/>
      <c r="GS815" s="110"/>
      <c r="GT815" s="109"/>
      <c r="GU815" s="111"/>
      <c r="GV815" s="109"/>
      <c r="GW815" s="109"/>
      <c r="GX815" s="110"/>
      <c r="GY815" s="109"/>
      <c r="GZ815" s="111"/>
      <c r="HA815" s="109"/>
      <c r="HB815" s="109"/>
      <c r="HC815" s="110"/>
      <c r="HD815" s="109"/>
      <c r="HE815" s="111"/>
      <c r="HF815" s="109"/>
      <c r="HG815" s="109"/>
      <c r="HH815" s="110"/>
      <c r="HI815" s="109"/>
      <c r="HJ815" s="111"/>
      <c r="HK815" s="109"/>
      <c r="HL815" s="109"/>
      <c r="HM815" s="110"/>
      <c r="HN815" s="109"/>
      <c r="HO815" s="111"/>
      <c r="HP815" s="109"/>
      <c r="HQ815" s="109"/>
      <c r="HR815" s="110"/>
      <c r="HS815" s="109"/>
      <c r="HT815" s="111"/>
      <c r="HU815" s="109"/>
      <c r="HV815" s="109"/>
      <c r="HW815" s="110"/>
      <c r="HX815" s="109"/>
      <c r="HY815" s="111"/>
      <c r="HZ815" s="109"/>
      <c r="IA815" s="109"/>
      <c r="IB815" s="110"/>
      <c r="IC815" s="109"/>
      <c r="ID815" s="111"/>
      <c r="IE815" s="109"/>
      <c r="IF815" s="109"/>
      <c r="IG815" s="110"/>
      <c r="IH815" s="109"/>
      <c r="II815" s="111"/>
      <c r="IJ815" s="109"/>
      <c r="IK815" s="109"/>
      <c r="IL815" s="110"/>
      <c r="IM815" s="109"/>
      <c r="IN815" s="111"/>
      <c r="IO815" s="109"/>
      <c r="IP815" s="109"/>
      <c r="IQ815" s="110"/>
      <c r="IR815" s="109"/>
      <c r="IS815" s="111"/>
      <c r="IT815" s="109"/>
      <c r="IU815" s="109"/>
      <c r="IV815" s="110"/>
    </row>
    <row r="816" spans="1:256" s="123" customFormat="1" ht="14.25">
      <c r="A816" s="134">
        <v>37040</v>
      </c>
      <c r="B816" s="111">
        <v>48.4212</v>
      </c>
      <c r="C816" s="111">
        <f t="shared" si="13"/>
        <v>0.0484212</v>
      </c>
      <c r="D816" s="111">
        <v>27.2163</v>
      </c>
      <c r="E816" s="111">
        <v>31.7059</v>
      </c>
      <c r="F816" s="131"/>
      <c r="G816" s="109"/>
      <c r="H816" s="111"/>
      <c r="I816" s="109"/>
      <c r="J816" s="109"/>
      <c r="K816" s="110"/>
      <c r="L816" s="109"/>
      <c r="M816" s="111"/>
      <c r="N816" s="109"/>
      <c r="O816" s="109"/>
      <c r="P816" s="110"/>
      <c r="Q816" s="109"/>
      <c r="R816" s="111"/>
      <c r="S816" s="109"/>
      <c r="T816" s="109"/>
      <c r="U816" s="110"/>
      <c r="V816" s="109"/>
      <c r="W816" s="111"/>
      <c r="X816" s="109"/>
      <c r="Y816" s="109"/>
      <c r="Z816" s="110"/>
      <c r="AA816" s="109"/>
      <c r="AB816" s="111"/>
      <c r="AC816" s="109"/>
      <c r="AD816" s="109"/>
      <c r="AE816" s="110"/>
      <c r="AF816" s="109"/>
      <c r="AG816" s="111"/>
      <c r="AH816" s="109"/>
      <c r="AI816" s="109"/>
      <c r="AJ816" s="110"/>
      <c r="AK816" s="109"/>
      <c r="AL816" s="111"/>
      <c r="AM816" s="109"/>
      <c r="AN816" s="109"/>
      <c r="AO816" s="110"/>
      <c r="AP816" s="109"/>
      <c r="AQ816" s="111"/>
      <c r="AR816" s="109"/>
      <c r="AS816" s="109"/>
      <c r="AT816" s="110"/>
      <c r="AU816" s="109"/>
      <c r="AV816" s="111"/>
      <c r="AW816" s="109"/>
      <c r="AX816" s="109"/>
      <c r="AY816" s="110"/>
      <c r="AZ816" s="109"/>
      <c r="BA816" s="111"/>
      <c r="BB816" s="109"/>
      <c r="BC816" s="109"/>
      <c r="BD816" s="110"/>
      <c r="BE816" s="109"/>
      <c r="BF816" s="111"/>
      <c r="BG816" s="109"/>
      <c r="BH816" s="109"/>
      <c r="BI816" s="110"/>
      <c r="BJ816" s="109"/>
      <c r="BK816" s="111"/>
      <c r="BL816" s="109"/>
      <c r="BM816" s="109"/>
      <c r="BN816" s="110"/>
      <c r="BO816" s="109"/>
      <c r="BP816" s="111"/>
      <c r="BQ816" s="109"/>
      <c r="BR816" s="109"/>
      <c r="BS816" s="110"/>
      <c r="BT816" s="109"/>
      <c r="BU816" s="111"/>
      <c r="BV816" s="109"/>
      <c r="BW816" s="109"/>
      <c r="BX816" s="110"/>
      <c r="BY816" s="109"/>
      <c r="BZ816" s="111"/>
      <c r="CA816" s="109"/>
      <c r="CB816" s="109"/>
      <c r="CC816" s="110"/>
      <c r="CD816" s="109"/>
      <c r="CE816" s="111"/>
      <c r="CF816" s="109"/>
      <c r="CG816" s="109"/>
      <c r="CH816" s="110"/>
      <c r="CI816" s="109"/>
      <c r="CJ816" s="111"/>
      <c r="CK816" s="109"/>
      <c r="CL816" s="109"/>
      <c r="CM816" s="110"/>
      <c r="CN816" s="109"/>
      <c r="CO816" s="111"/>
      <c r="CP816" s="109"/>
      <c r="CQ816" s="109"/>
      <c r="CR816" s="110"/>
      <c r="CS816" s="109"/>
      <c r="CT816" s="111"/>
      <c r="CU816" s="109"/>
      <c r="CV816" s="109"/>
      <c r="CW816" s="110"/>
      <c r="CX816" s="109"/>
      <c r="CY816" s="111"/>
      <c r="CZ816" s="109"/>
      <c r="DA816" s="109"/>
      <c r="DB816" s="110"/>
      <c r="DC816" s="109"/>
      <c r="DD816" s="111"/>
      <c r="DE816" s="109"/>
      <c r="DF816" s="109"/>
      <c r="DG816" s="110"/>
      <c r="DH816" s="109"/>
      <c r="DI816" s="111"/>
      <c r="DJ816" s="109"/>
      <c r="DK816" s="109"/>
      <c r="DL816" s="110"/>
      <c r="DM816" s="109"/>
      <c r="DN816" s="111"/>
      <c r="DO816" s="109"/>
      <c r="DP816" s="109"/>
      <c r="DQ816" s="110"/>
      <c r="DR816" s="109"/>
      <c r="DS816" s="111"/>
      <c r="DT816" s="109"/>
      <c r="DU816" s="109"/>
      <c r="DV816" s="110"/>
      <c r="DW816" s="109"/>
      <c r="DX816" s="111"/>
      <c r="DY816" s="109"/>
      <c r="DZ816" s="109"/>
      <c r="EA816" s="110"/>
      <c r="EB816" s="109"/>
      <c r="EC816" s="111"/>
      <c r="ED816" s="109"/>
      <c r="EE816" s="109"/>
      <c r="EF816" s="110"/>
      <c r="EG816" s="109"/>
      <c r="EH816" s="111"/>
      <c r="EI816" s="109"/>
      <c r="EJ816" s="109"/>
      <c r="EK816" s="110"/>
      <c r="EL816" s="109"/>
      <c r="EM816" s="111"/>
      <c r="EN816" s="109"/>
      <c r="EO816" s="109"/>
      <c r="EP816" s="110"/>
      <c r="EQ816" s="109"/>
      <c r="ER816" s="111"/>
      <c r="ES816" s="109"/>
      <c r="ET816" s="109"/>
      <c r="EU816" s="110"/>
      <c r="EV816" s="109"/>
      <c r="EW816" s="111"/>
      <c r="EX816" s="109"/>
      <c r="EY816" s="109"/>
      <c r="EZ816" s="110"/>
      <c r="FA816" s="109"/>
      <c r="FB816" s="111"/>
      <c r="FC816" s="109"/>
      <c r="FD816" s="109"/>
      <c r="FE816" s="110"/>
      <c r="FF816" s="109"/>
      <c r="FG816" s="111"/>
      <c r="FH816" s="109"/>
      <c r="FI816" s="109"/>
      <c r="FJ816" s="110"/>
      <c r="FK816" s="109"/>
      <c r="FL816" s="111"/>
      <c r="FM816" s="109"/>
      <c r="FN816" s="109"/>
      <c r="FO816" s="110"/>
      <c r="FP816" s="109"/>
      <c r="FQ816" s="111"/>
      <c r="FR816" s="109"/>
      <c r="FS816" s="109"/>
      <c r="FT816" s="110"/>
      <c r="FU816" s="109"/>
      <c r="FV816" s="111"/>
      <c r="FW816" s="109"/>
      <c r="FX816" s="109"/>
      <c r="FY816" s="110"/>
      <c r="FZ816" s="109"/>
      <c r="GA816" s="111"/>
      <c r="GB816" s="109"/>
      <c r="GC816" s="109"/>
      <c r="GD816" s="110"/>
      <c r="GE816" s="109"/>
      <c r="GF816" s="111"/>
      <c r="GG816" s="109"/>
      <c r="GH816" s="109"/>
      <c r="GI816" s="110"/>
      <c r="GJ816" s="109"/>
      <c r="GK816" s="111"/>
      <c r="GL816" s="109"/>
      <c r="GM816" s="109"/>
      <c r="GN816" s="110"/>
      <c r="GO816" s="109"/>
      <c r="GP816" s="111"/>
      <c r="GQ816" s="109"/>
      <c r="GR816" s="109"/>
      <c r="GS816" s="110"/>
      <c r="GT816" s="109"/>
      <c r="GU816" s="111"/>
      <c r="GV816" s="109"/>
      <c r="GW816" s="109"/>
      <c r="GX816" s="110"/>
      <c r="GY816" s="109"/>
      <c r="GZ816" s="111"/>
      <c r="HA816" s="109"/>
      <c r="HB816" s="109"/>
      <c r="HC816" s="110"/>
      <c r="HD816" s="109"/>
      <c r="HE816" s="111"/>
      <c r="HF816" s="109"/>
      <c r="HG816" s="109"/>
      <c r="HH816" s="110"/>
      <c r="HI816" s="109"/>
      <c r="HJ816" s="111"/>
      <c r="HK816" s="109"/>
      <c r="HL816" s="109"/>
      <c r="HM816" s="110"/>
      <c r="HN816" s="109"/>
      <c r="HO816" s="111"/>
      <c r="HP816" s="109"/>
      <c r="HQ816" s="109"/>
      <c r="HR816" s="110"/>
      <c r="HS816" s="109"/>
      <c r="HT816" s="111"/>
      <c r="HU816" s="109"/>
      <c r="HV816" s="109"/>
      <c r="HW816" s="110"/>
      <c r="HX816" s="109"/>
      <c r="HY816" s="111"/>
      <c r="HZ816" s="109"/>
      <c r="IA816" s="109"/>
      <c r="IB816" s="110"/>
      <c r="IC816" s="109"/>
      <c r="ID816" s="111"/>
      <c r="IE816" s="109"/>
      <c r="IF816" s="109"/>
      <c r="IG816" s="110"/>
      <c r="IH816" s="109"/>
      <c r="II816" s="111"/>
      <c r="IJ816" s="109"/>
      <c r="IK816" s="109"/>
      <c r="IL816" s="110"/>
      <c r="IM816" s="109"/>
      <c r="IN816" s="111"/>
      <c r="IO816" s="109"/>
      <c r="IP816" s="109"/>
      <c r="IQ816" s="110"/>
      <c r="IR816" s="109"/>
      <c r="IS816" s="111"/>
      <c r="IT816" s="109"/>
      <c r="IU816" s="109"/>
      <c r="IV816" s="110"/>
    </row>
    <row r="817" spans="1:256" s="123" customFormat="1" ht="14.25">
      <c r="A817" s="134">
        <v>37041</v>
      </c>
      <c r="B817" s="111">
        <v>48.5355</v>
      </c>
      <c r="C817" s="111">
        <f t="shared" si="13"/>
        <v>0.0485355</v>
      </c>
      <c r="D817" s="111">
        <v>27.2003</v>
      </c>
      <c r="E817" s="111">
        <v>31.8057</v>
      </c>
      <c r="F817" s="131"/>
      <c r="G817" s="109"/>
      <c r="H817" s="111"/>
      <c r="I817" s="109"/>
      <c r="J817" s="109"/>
      <c r="K817" s="110"/>
      <c r="L817" s="109"/>
      <c r="M817" s="111"/>
      <c r="N817" s="109"/>
      <c r="O817" s="109"/>
      <c r="P817" s="110"/>
      <c r="Q817" s="109"/>
      <c r="R817" s="111"/>
      <c r="S817" s="109"/>
      <c r="T817" s="109"/>
      <c r="U817" s="110"/>
      <c r="V817" s="109"/>
      <c r="W817" s="111"/>
      <c r="X817" s="109"/>
      <c r="Y817" s="109"/>
      <c r="Z817" s="110"/>
      <c r="AA817" s="109"/>
      <c r="AB817" s="111"/>
      <c r="AC817" s="109"/>
      <c r="AD817" s="109"/>
      <c r="AE817" s="110"/>
      <c r="AF817" s="109"/>
      <c r="AG817" s="111"/>
      <c r="AH817" s="109"/>
      <c r="AI817" s="109"/>
      <c r="AJ817" s="110"/>
      <c r="AK817" s="109"/>
      <c r="AL817" s="111"/>
      <c r="AM817" s="109"/>
      <c r="AN817" s="109"/>
      <c r="AO817" s="110"/>
      <c r="AP817" s="109"/>
      <c r="AQ817" s="111"/>
      <c r="AR817" s="109"/>
      <c r="AS817" s="109"/>
      <c r="AT817" s="110"/>
      <c r="AU817" s="109"/>
      <c r="AV817" s="111"/>
      <c r="AW817" s="109"/>
      <c r="AX817" s="109"/>
      <c r="AY817" s="110"/>
      <c r="AZ817" s="109"/>
      <c r="BA817" s="111"/>
      <c r="BB817" s="109"/>
      <c r="BC817" s="109"/>
      <c r="BD817" s="110"/>
      <c r="BE817" s="109"/>
      <c r="BF817" s="111"/>
      <c r="BG817" s="109"/>
      <c r="BH817" s="109"/>
      <c r="BI817" s="110"/>
      <c r="BJ817" s="109"/>
      <c r="BK817" s="111"/>
      <c r="BL817" s="109"/>
      <c r="BM817" s="109"/>
      <c r="BN817" s="110"/>
      <c r="BO817" s="109"/>
      <c r="BP817" s="111"/>
      <c r="BQ817" s="109"/>
      <c r="BR817" s="109"/>
      <c r="BS817" s="110"/>
      <c r="BT817" s="109"/>
      <c r="BU817" s="111"/>
      <c r="BV817" s="109"/>
      <c r="BW817" s="109"/>
      <c r="BX817" s="110"/>
      <c r="BY817" s="109"/>
      <c r="BZ817" s="111"/>
      <c r="CA817" s="109"/>
      <c r="CB817" s="109"/>
      <c r="CC817" s="110"/>
      <c r="CD817" s="109"/>
      <c r="CE817" s="111"/>
      <c r="CF817" s="109"/>
      <c r="CG817" s="109"/>
      <c r="CH817" s="110"/>
      <c r="CI817" s="109"/>
      <c r="CJ817" s="111"/>
      <c r="CK817" s="109"/>
      <c r="CL817" s="109"/>
      <c r="CM817" s="110"/>
      <c r="CN817" s="109"/>
      <c r="CO817" s="111"/>
      <c r="CP817" s="109"/>
      <c r="CQ817" s="109"/>
      <c r="CR817" s="110"/>
      <c r="CS817" s="109"/>
      <c r="CT817" s="111"/>
      <c r="CU817" s="109"/>
      <c r="CV817" s="109"/>
      <c r="CW817" s="110"/>
      <c r="CX817" s="109"/>
      <c r="CY817" s="111"/>
      <c r="CZ817" s="109"/>
      <c r="DA817" s="109"/>
      <c r="DB817" s="110"/>
      <c r="DC817" s="109"/>
      <c r="DD817" s="111"/>
      <c r="DE817" s="109"/>
      <c r="DF817" s="109"/>
      <c r="DG817" s="110"/>
      <c r="DH817" s="109"/>
      <c r="DI817" s="111"/>
      <c r="DJ817" s="109"/>
      <c r="DK817" s="109"/>
      <c r="DL817" s="110"/>
      <c r="DM817" s="109"/>
      <c r="DN817" s="111"/>
      <c r="DO817" s="109"/>
      <c r="DP817" s="109"/>
      <c r="DQ817" s="110"/>
      <c r="DR817" s="109"/>
      <c r="DS817" s="111"/>
      <c r="DT817" s="109"/>
      <c r="DU817" s="109"/>
      <c r="DV817" s="110"/>
      <c r="DW817" s="109"/>
      <c r="DX817" s="111"/>
      <c r="DY817" s="109"/>
      <c r="DZ817" s="109"/>
      <c r="EA817" s="110"/>
      <c r="EB817" s="109"/>
      <c r="EC817" s="111"/>
      <c r="ED817" s="109"/>
      <c r="EE817" s="109"/>
      <c r="EF817" s="110"/>
      <c r="EG817" s="109"/>
      <c r="EH817" s="111"/>
      <c r="EI817" s="109"/>
      <c r="EJ817" s="109"/>
      <c r="EK817" s="110"/>
      <c r="EL817" s="109"/>
      <c r="EM817" s="111"/>
      <c r="EN817" s="109"/>
      <c r="EO817" s="109"/>
      <c r="EP817" s="110"/>
      <c r="EQ817" s="109"/>
      <c r="ER817" s="111"/>
      <c r="ES817" s="109"/>
      <c r="ET817" s="109"/>
      <c r="EU817" s="110"/>
      <c r="EV817" s="109"/>
      <c r="EW817" s="111"/>
      <c r="EX817" s="109"/>
      <c r="EY817" s="109"/>
      <c r="EZ817" s="110"/>
      <c r="FA817" s="109"/>
      <c r="FB817" s="111"/>
      <c r="FC817" s="109"/>
      <c r="FD817" s="109"/>
      <c r="FE817" s="110"/>
      <c r="FF817" s="109"/>
      <c r="FG817" s="111"/>
      <c r="FH817" s="109"/>
      <c r="FI817" s="109"/>
      <c r="FJ817" s="110"/>
      <c r="FK817" s="109"/>
      <c r="FL817" s="111"/>
      <c r="FM817" s="109"/>
      <c r="FN817" s="109"/>
      <c r="FO817" s="110"/>
      <c r="FP817" s="109"/>
      <c r="FQ817" s="111"/>
      <c r="FR817" s="109"/>
      <c r="FS817" s="109"/>
      <c r="FT817" s="110"/>
      <c r="FU817" s="109"/>
      <c r="FV817" s="111"/>
      <c r="FW817" s="109"/>
      <c r="FX817" s="109"/>
      <c r="FY817" s="110"/>
      <c r="FZ817" s="109"/>
      <c r="GA817" s="111"/>
      <c r="GB817" s="109"/>
      <c r="GC817" s="109"/>
      <c r="GD817" s="110"/>
      <c r="GE817" s="109"/>
      <c r="GF817" s="111"/>
      <c r="GG817" s="109"/>
      <c r="GH817" s="109"/>
      <c r="GI817" s="110"/>
      <c r="GJ817" s="109"/>
      <c r="GK817" s="111"/>
      <c r="GL817" s="109"/>
      <c r="GM817" s="109"/>
      <c r="GN817" s="110"/>
      <c r="GO817" s="109"/>
      <c r="GP817" s="111"/>
      <c r="GQ817" s="109"/>
      <c r="GR817" s="109"/>
      <c r="GS817" s="110"/>
      <c r="GT817" s="109"/>
      <c r="GU817" s="111"/>
      <c r="GV817" s="109"/>
      <c r="GW817" s="109"/>
      <c r="GX817" s="110"/>
      <c r="GY817" s="109"/>
      <c r="GZ817" s="111"/>
      <c r="HA817" s="109"/>
      <c r="HB817" s="109"/>
      <c r="HC817" s="110"/>
      <c r="HD817" s="109"/>
      <c r="HE817" s="111"/>
      <c r="HF817" s="109"/>
      <c r="HG817" s="109"/>
      <c r="HH817" s="110"/>
      <c r="HI817" s="109"/>
      <c r="HJ817" s="111"/>
      <c r="HK817" s="109"/>
      <c r="HL817" s="109"/>
      <c r="HM817" s="110"/>
      <c r="HN817" s="109"/>
      <c r="HO817" s="111"/>
      <c r="HP817" s="109"/>
      <c r="HQ817" s="109"/>
      <c r="HR817" s="110"/>
      <c r="HS817" s="109"/>
      <c r="HT817" s="111"/>
      <c r="HU817" s="109"/>
      <c r="HV817" s="109"/>
      <c r="HW817" s="110"/>
      <c r="HX817" s="109"/>
      <c r="HY817" s="111"/>
      <c r="HZ817" s="109"/>
      <c r="IA817" s="109"/>
      <c r="IB817" s="110"/>
      <c r="IC817" s="109"/>
      <c r="ID817" s="111"/>
      <c r="IE817" s="109"/>
      <c r="IF817" s="109"/>
      <c r="IG817" s="110"/>
      <c r="IH817" s="109"/>
      <c r="II817" s="111"/>
      <c r="IJ817" s="109"/>
      <c r="IK817" s="109"/>
      <c r="IL817" s="110"/>
      <c r="IM817" s="109"/>
      <c r="IN817" s="111"/>
      <c r="IO817" s="109"/>
      <c r="IP817" s="109"/>
      <c r="IQ817" s="110"/>
      <c r="IR817" s="109"/>
      <c r="IS817" s="111"/>
      <c r="IT817" s="109"/>
      <c r="IU817" s="109"/>
      <c r="IV817" s="110"/>
    </row>
    <row r="818" spans="1:256" s="123" customFormat="1" ht="14.25">
      <c r="A818" s="134">
        <v>37042</v>
      </c>
      <c r="B818" s="111">
        <v>52.2624</v>
      </c>
      <c r="C818" s="111">
        <f t="shared" si="13"/>
        <v>0.0522624</v>
      </c>
      <c r="D818" s="111">
        <v>29.3248</v>
      </c>
      <c r="E818" s="111">
        <v>34.266</v>
      </c>
      <c r="F818" s="131"/>
      <c r="G818" s="109"/>
      <c r="H818" s="111"/>
      <c r="I818" s="109"/>
      <c r="J818" s="109"/>
      <c r="K818" s="110"/>
      <c r="L818" s="109"/>
      <c r="M818" s="111"/>
      <c r="N818" s="109"/>
      <c r="O818" s="109"/>
      <c r="P818" s="110"/>
      <c r="Q818" s="109"/>
      <c r="R818" s="111"/>
      <c r="S818" s="109"/>
      <c r="T818" s="109"/>
      <c r="U818" s="110"/>
      <c r="V818" s="109"/>
      <c r="W818" s="111"/>
      <c r="X818" s="109"/>
      <c r="Y818" s="109"/>
      <c r="Z818" s="110"/>
      <c r="AA818" s="109"/>
      <c r="AB818" s="111"/>
      <c r="AC818" s="109"/>
      <c r="AD818" s="109"/>
      <c r="AE818" s="110"/>
      <c r="AF818" s="109"/>
      <c r="AG818" s="111"/>
      <c r="AH818" s="109"/>
      <c r="AI818" s="109"/>
      <c r="AJ818" s="110"/>
      <c r="AK818" s="109"/>
      <c r="AL818" s="111"/>
      <c r="AM818" s="109"/>
      <c r="AN818" s="109"/>
      <c r="AO818" s="110"/>
      <c r="AP818" s="109"/>
      <c r="AQ818" s="111"/>
      <c r="AR818" s="109"/>
      <c r="AS818" s="109"/>
      <c r="AT818" s="110"/>
      <c r="AU818" s="109"/>
      <c r="AV818" s="111"/>
      <c r="AW818" s="109"/>
      <c r="AX818" s="109"/>
      <c r="AY818" s="110"/>
      <c r="AZ818" s="109"/>
      <c r="BA818" s="111"/>
      <c r="BB818" s="109"/>
      <c r="BC818" s="109"/>
      <c r="BD818" s="110"/>
      <c r="BE818" s="109"/>
      <c r="BF818" s="111"/>
      <c r="BG818" s="109"/>
      <c r="BH818" s="109"/>
      <c r="BI818" s="110"/>
      <c r="BJ818" s="109"/>
      <c r="BK818" s="111"/>
      <c r="BL818" s="109"/>
      <c r="BM818" s="109"/>
      <c r="BN818" s="110"/>
      <c r="BO818" s="109"/>
      <c r="BP818" s="111"/>
      <c r="BQ818" s="109"/>
      <c r="BR818" s="109"/>
      <c r="BS818" s="110"/>
      <c r="BT818" s="109"/>
      <c r="BU818" s="111"/>
      <c r="BV818" s="109"/>
      <c r="BW818" s="109"/>
      <c r="BX818" s="110"/>
      <c r="BY818" s="109"/>
      <c r="BZ818" s="111"/>
      <c r="CA818" s="109"/>
      <c r="CB818" s="109"/>
      <c r="CC818" s="110"/>
      <c r="CD818" s="109"/>
      <c r="CE818" s="111"/>
      <c r="CF818" s="109"/>
      <c r="CG818" s="109"/>
      <c r="CH818" s="110"/>
      <c r="CI818" s="109"/>
      <c r="CJ818" s="111"/>
      <c r="CK818" s="109"/>
      <c r="CL818" s="109"/>
      <c r="CM818" s="110"/>
      <c r="CN818" s="109"/>
      <c r="CO818" s="111"/>
      <c r="CP818" s="109"/>
      <c r="CQ818" s="109"/>
      <c r="CR818" s="110"/>
      <c r="CS818" s="109"/>
      <c r="CT818" s="111"/>
      <c r="CU818" s="109"/>
      <c r="CV818" s="109"/>
      <c r="CW818" s="110"/>
      <c r="CX818" s="109"/>
      <c r="CY818" s="111"/>
      <c r="CZ818" s="109"/>
      <c r="DA818" s="109"/>
      <c r="DB818" s="110"/>
      <c r="DC818" s="109"/>
      <c r="DD818" s="111"/>
      <c r="DE818" s="109"/>
      <c r="DF818" s="109"/>
      <c r="DG818" s="110"/>
      <c r="DH818" s="109"/>
      <c r="DI818" s="111"/>
      <c r="DJ818" s="109"/>
      <c r="DK818" s="109"/>
      <c r="DL818" s="110"/>
      <c r="DM818" s="109"/>
      <c r="DN818" s="111"/>
      <c r="DO818" s="109"/>
      <c r="DP818" s="109"/>
      <c r="DQ818" s="110"/>
      <c r="DR818" s="109"/>
      <c r="DS818" s="111"/>
      <c r="DT818" s="109"/>
      <c r="DU818" s="109"/>
      <c r="DV818" s="110"/>
      <c r="DW818" s="109"/>
      <c r="DX818" s="111"/>
      <c r="DY818" s="109"/>
      <c r="DZ818" s="109"/>
      <c r="EA818" s="110"/>
      <c r="EB818" s="109"/>
      <c r="EC818" s="111"/>
      <c r="ED818" s="109"/>
      <c r="EE818" s="109"/>
      <c r="EF818" s="110"/>
      <c r="EG818" s="109"/>
      <c r="EH818" s="111"/>
      <c r="EI818" s="109"/>
      <c r="EJ818" s="109"/>
      <c r="EK818" s="110"/>
      <c r="EL818" s="109"/>
      <c r="EM818" s="111"/>
      <c r="EN818" s="109"/>
      <c r="EO818" s="109"/>
      <c r="EP818" s="110"/>
      <c r="EQ818" s="109"/>
      <c r="ER818" s="111"/>
      <c r="ES818" s="109"/>
      <c r="ET818" s="109"/>
      <c r="EU818" s="110"/>
      <c r="EV818" s="109"/>
      <c r="EW818" s="111"/>
      <c r="EX818" s="109"/>
      <c r="EY818" s="109"/>
      <c r="EZ818" s="110"/>
      <c r="FA818" s="109"/>
      <c r="FB818" s="111"/>
      <c r="FC818" s="109"/>
      <c r="FD818" s="109"/>
      <c r="FE818" s="110"/>
      <c r="FF818" s="109"/>
      <c r="FG818" s="111"/>
      <c r="FH818" s="109"/>
      <c r="FI818" s="109"/>
      <c r="FJ818" s="110"/>
      <c r="FK818" s="109"/>
      <c r="FL818" s="111"/>
      <c r="FM818" s="109"/>
      <c r="FN818" s="109"/>
      <c r="FO818" s="110"/>
      <c r="FP818" s="109"/>
      <c r="FQ818" s="111"/>
      <c r="FR818" s="109"/>
      <c r="FS818" s="109"/>
      <c r="FT818" s="110"/>
      <c r="FU818" s="109"/>
      <c r="FV818" s="111"/>
      <c r="FW818" s="109"/>
      <c r="FX818" s="109"/>
      <c r="FY818" s="110"/>
      <c r="FZ818" s="109"/>
      <c r="GA818" s="111"/>
      <c r="GB818" s="109"/>
      <c r="GC818" s="109"/>
      <c r="GD818" s="110"/>
      <c r="GE818" s="109"/>
      <c r="GF818" s="111"/>
      <c r="GG818" s="109"/>
      <c r="GH818" s="109"/>
      <c r="GI818" s="110"/>
      <c r="GJ818" s="109"/>
      <c r="GK818" s="111"/>
      <c r="GL818" s="109"/>
      <c r="GM818" s="109"/>
      <c r="GN818" s="110"/>
      <c r="GO818" s="109"/>
      <c r="GP818" s="111"/>
      <c r="GQ818" s="109"/>
      <c r="GR818" s="109"/>
      <c r="GS818" s="110"/>
      <c r="GT818" s="109"/>
      <c r="GU818" s="111"/>
      <c r="GV818" s="109"/>
      <c r="GW818" s="109"/>
      <c r="GX818" s="110"/>
      <c r="GY818" s="109"/>
      <c r="GZ818" s="111"/>
      <c r="HA818" s="109"/>
      <c r="HB818" s="109"/>
      <c r="HC818" s="110"/>
      <c r="HD818" s="109"/>
      <c r="HE818" s="111"/>
      <c r="HF818" s="109"/>
      <c r="HG818" s="109"/>
      <c r="HH818" s="110"/>
      <c r="HI818" s="109"/>
      <c r="HJ818" s="111"/>
      <c r="HK818" s="109"/>
      <c r="HL818" s="109"/>
      <c r="HM818" s="110"/>
      <c r="HN818" s="109"/>
      <c r="HO818" s="111"/>
      <c r="HP818" s="109"/>
      <c r="HQ818" s="109"/>
      <c r="HR818" s="110"/>
      <c r="HS818" s="109"/>
      <c r="HT818" s="111"/>
      <c r="HU818" s="109"/>
      <c r="HV818" s="109"/>
      <c r="HW818" s="110"/>
      <c r="HX818" s="109"/>
      <c r="HY818" s="111"/>
      <c r="HZ818" s="109"/>
      <c r="IA818" s="109"/>
      <c r="IB818" s="110"/>
      <c r="IC818" s="109"/>
      <c r="ID818" s="111"/>
      <c r="IE818" s="109"/>
      <c r="IF818" s="109"/>
      <c r="IG818" s="110"/>
      <c r="IH818" s="109"/>
      <c r="II818" s="111"/>
      <c r="IJ818" s="109"/>
      <c r="IK818" s="109"/>
      <c r="IL818" s="110"/>
      <c r="IM818" s="109"/>
      <c r="IN818" s="111"/>
      <c r="IO818" s="109"/>
      <c r="IP818" s="109"/>
      <c r="IQ818" s="110"/>
      <c r="IR818" s="109"/>
      <c r="IS818" s="111"/>
      <c r="IT818" s="109"/>
      <c r="IU818" s="109"/>
      <c r="IV818" s="110"/>
    </row>
    <row r="819" spans="1:256" s="123" customFormat="1" ht="14.25">
      <c r="A819" s="134">
        <v>37043</v>
      </c>
      <c r="B819" s="111">
        <v>50.5534</v>
      </c>
      <c r="C819" s="111">
        <f t="shared" si="13"/>
        <v>0.050553400000000005</v>
      </c>
      <c r="D819" s="111">
        <v>28.1924</v>
      </c>
      <c r="E819" s="111">
        <v>33.2457</v>
      </c>
      <c r="F819" s="131"/>
      <c r="G819" s="109"/>
      <c r="H819" s="111"/>
      <c r="I819" s="109"/>
      <c r="J819" s="109"/>
      <c r="K819" s="110"/>
      <c r="L819" s="109"/>
      <c r="M819" s="111"/>
      <c r="N819" s="109"/>
      <c r="O819" s="109"/>
      <c r="P819" s="110"/>
      <c r="Q819" s="109"/>
      <c r="R819" s="111"/>
      <c r="S819" s="109"/>
      <c r="T819" s="109"/>
      <c r="U819" s="110"/>
      <c r="V819" s="109"/>
      <c r="W819" s="111"/>
      <c r="X819" s="109"/>
      <c r="Y819" s="109"/>
      <c r="Z819" s="110"/>
      <c r="AA819" s="109"/>
      <c r="AB819" s="111"/>
      <c r="AC819" s="109"/>
      <c r="AD819" s="109"/>
      <c r="AE819" s="110"/>
      <c r="AF819" s="109"/>
      <c r="AG819" s="111"/>
      <c r="AH819" s="109"/>
      <c r="AI819" s="109"/>
      <c r="AJ819" s="110"/>
      <c r="AK819" s="109"/>
      <c r="AL819" s="111"/>
      <c r="AM819" s="109"/>
      <c r="AN819" s="109"/>
      <c r="AO819" s="110"/>
      <c r="AP819" s="109"/>
      <c r="AQ819" s="111"/>
      <c r="AR819" s="109"/>
      <c r="AS819" s="109"/>
      <c r="AT819" s="110"/>
      <c r="AU819" s="109"/>
      <c r="AV819" s="111"/>
      <c r="AW819" s="109"/>
      <c r="AX819" s="109"/>
      <c r="AY819" s="110"/>
      <c r="AZ819" s="109"/>
      <c r="BA819" s="111"/>
      <c r="BB819" s="109"/>
      <c r="BC819" s="109"/>
      <c r="BD819" s="110"/>
      <c r="BE819" s="109"/>
      <c r="BF819" s="111"/>
      <c r="BG819" s="109"/>
      <c r="BH819" s="109"/>
      <c r="BI819" s="110"/>
      <c r="BJ819" s="109"/>
      <c r="BK819" s="111"/>
      <c r="BL819" s="109"/>
      <c r="BM819" s="109"/>
      <c r="BN819" s="110"/>
      <c r="BO819" s="109"/>
      <c r="BP819" s="111"/>
      <c r="BQ819" s="109"/>
      <c r="BR819" s="109"/>
      <c r="BS819" s="110"/>
      <c r="BT819" s="109"/>
      <c r="BU819" s="111"/>
      <c r="BV819" s="109"/>
      <c r="BW819" s="109"/>
      <c r="BX819" s="110"/>
      <c r="BY819" s="109"/>
      <c r="BZ819" s="111"/>
      <c r="CA819" s="109"/>
      <c r="CB819" s="109"/>
      <c r="CC819" s="110"/>
      <c r="CD819" s="109"/>
      <c r="CE819" s="111"/>
      <c r="CF819" s="109"/>
      <c r="CG819" s="109"/>
      <c r="CH819" s="110"/>
      <c r="CI819" s="109"/>
      <c r="CJ819" s="111"/>
      <c r="CK819" s="109"/>
      <c r="CL819" s="109"/>
      <c r="CM819" s="110"/>
      <c r="CN819" s="109"/>
      <c r="CO819" s="111"/>
      <c r="CP819" s="109"/>
      <c r="CQ819" s="109"/>
      <c r="CR819" s="110"/>
      <c r="CS819" s="109"/>
      <c r="CT819" s="111"/>
      <c r="CU819" s="109"/>
      <c r="CV819" s="109"/>
      <c r="CW819" s="110"/>
      <c r="CX819" s="109"/>
      <c r="CY819" s="111"/>
      <c r="CZ819" s="109"/>
      <c r="DA819" s="109"/>
      <c r="DB819" s="110"/>
      <c r="DC819" s="109"/>
      <c r="DD819" s="111"/>
      <c r="DE819" s="109"/>
      <c r="DF819" s="109"/>
      <c r="DG819" s="110"/>
      <c r="DH819" s="109"/>
      <c r="DI819" s="111"/>
      <c r="DJ819" s="109"/>
      <c r="DK819" s="109"/>
      <c r="DL819" s="110"/>
      <c r="DM819" s="109"/>
      <c r="DN819" s="111"/>
      <c r="DO819" s="109"/>
      <c r="DP819" s="109"/>
      <c r="DQ819" s="110"/>
      <c r="DR819" s="109"/>
      <c r="DS819" s="111"/>
      <c r="DT819" s="109"/>
      <c r="DU819" s="109"/>
      <c r="DV819" s="110"/>
      <c r="DW819" s="109"/>
      <c r="DX819" s="111"/>
      <c r="DY819" s="109"/>
      <c r="DZ819" s="109"/>
      <c r="EA819" s="110"/>
      <c r="EB819" s="109"/>
      <c r="EC819" s="111"/>
      <c r="ED819" s="109"/>
      <c r="EE819" s="109"/>
      <c r="EF819" s="110"/>
      <c r="EG819" s="109"/>
      <c r="EH819" s="111"/>
      <c r="EI819" s="109"/>
      <c r="EJ819" s="109"/>
      <c r="EK819" s="110"/>
      <c r="EL819" s="109"/>
      <c r="EM819" s="111"/>
      <c r="EN819" s="109"/>
      <c r="EO819" s="109"/>
      <c r="EP819" s="110"/>
      <c r="EQ819" s="109"/>
      <c r="ER819" s="111"/>
      <c r="ES819" s="109"/>
      <c r="ET819" s="109"/>
      <c r="EU819" s="110"/>
      <c r="EV819" s="109"/>
      <c r="EW819" s="111"/>
      <c r="EX819" s="109"/>
      <c r="EY819" s="109"/>
      <c r="EZ819" s="110"/>
      <c r="FA819" s="109"/>
      <c r="FB819" s="111"/>
      <c r="FC819" s="109"/>
      <c r="FD819" s="109"/>
      <c r="FE819" s="110"/>
      <c r="FF819" s="109"/>
      <c r="FG819" s="111"/>
      <c r="FH819" s="109"/>
      <c r="FI819" s="109"/>
      <c r="FJ819" s="110"/>
      <c r="FK819" s="109"/>
      <c r="FL819" s="111"/>
      <c r="FM819" s="109"/>
      <c r="FN819" s="109"/>
      <c r="FO819" s="110"/>
      <c r="FP819" s="109"/>
      <c r="FQ819" s="111"/>
      <c r="FR819" s="109"/>
      <c r="FS819" s="109"/>
      <c r="FT819" s="110"/>
      <c r="FU819" s="109"/>
      <c r="FV819" s="111"/>
      <c r="FW819" s="109"/>
      <c r="FX819" s="109"/>
      <c r="FY819" s="110"/>
      <c r="FZ819" s="109"/>
      <c r="GA819" s="111"/>
      <c r="GB819" s="109"/>
      <c r="GC819" s="109"/>
      <c r="GD819" s="110"/>
      <c r="GE819" s="109"/>
      <c r="GF819" s="111"/>
      <c r="GG819" s="109"/>
      <c r="GH819" s="109"/>
      <c r="GI819" s="110"/>
      <c r="GJ819" s="109"/>
      <c r="GK819" s="111"/>
      <c r="GL819" s="109"/>
      <c r="GM819" s="109"/>
      <c r="GN819" s="110"/>
      <c r="GO819" s="109"/>
      <c r="GP819" s="111"/>
      <c r="GQ819" s="109"/>
      <c r="GR819" s="109"/>
      <c r="GS819" s="110"/>
      <c r="GT819" s="109"/>
      <c r="GU819" s="111"/>
      <c r="GV819" s="109"/>
      <c r="GW819" s="109"/>
      <c r="GX819" s="110"/>
      <c r="GY819" s="109"/>
      <c r="GZ819" s="111"/>
      <c r="HA819" s="109"/>
      <c r="HB819" s="109"/>
      <c r="HC819" s="110"/>
      <c r="HD819" s="109"/>
      <c r="HE819" s="111"/>
      <c r="HF819" s="109"/>
      <c r="HG819" s="109"/>
      <c r="HH819" s="110"/>
      <c r="HI819" s="109"/>
      <c r="HJ819" s="111"/>
      <c r="HK819" s="109"/>
      <c r="HL819" s="109"/>
      <c r="HM819" s="110"/>
      <c r="HN819" s="109"/>
      <c r="HO819" s="111"/>
      <c r="HP819" s="109"/>
      <c r="HQ819" s="109"/>
      <c r="HR819" s="110"/>
      <c r="HS819" s="109"/>
      <c r="HT819" s="111"/>
      <c r="HU819" s="109"/>
      <c r="HV819" s="109"/>
      <c r="HW819" s="110"/>
      <c r="HX819" s="109"/>
      <c r="HY819" s="111"/>
      <c r="HZ819" s="109"/>
      <c r="IA819" s="109"/>
      <c r="IB819" s="110"/>
      <c r="IC819" s="109"/>
      <c r="ID819" s="111"/>
      <c r="IE819" s="109"/>
      <c r="IF819" s="109"/>
      <c r="IG819" s="110"/>
      <c r="IH819" s="109"/>
      <c r="II819" s="111"/>
      <c r="IJ819" s="109"/>
      <c r="IK819" s="109"/>
      <c r="IL819" s="110"/>
      <c r="IM819" s="109"/>
      <c r="IN819" s="111"/>
      <c r="IO819" s="109"/>
      <c r="IP819" s="109"/>
      <c r="IQ819" s="110"/>
      <c r="IR819" s="109"/>
      <c r="IS819" s="111"/>
      <c r="IT819" s="109"/>
      <c r="IU819" s="109"/>
      <c r="IV819" s="110"/>
    </row>
    <row r="820" spans="1:256" s="123" customFormat="1" ht="14.25">
      <c r="A820" s="134">
        <v>37047</v>
      </c>
      <c r="B820" s="111">
        <v>52.2098</v>
      </c>
      <c r="C820" s="111">
        <f t="shared" si="13"/>
        <v>0.0522098</v>
      </c>
      <c r="D820" s="111">
        <v>29.1034</v>
      </c>
      <c r="E820" s="111">
        <v>34.3282</v>
      </c>
      <c r="F820" s="131"/>
      <c r="G820" s="109"/>
      <c r="H820" s="111"/>
      <c r="I820" s="109"/>
      <c r="J820" s="109"/>
      <c r="K820" s="110"/>
      <c r="L820" s="109"/>
      <c r="M820" s="111"/>
      <c r="N820" s="109"/>
      <c r="O820" s="109"/>
      <c r="P820" s="110"/>
      <c r="Q820" s="109"/>
      <c r="R820" s="111"/>
      <c r="S820" s="109"/>
      <c r="T820" s="109"/>
      <c r="U820" s="110"/>
      <c r="V820" s="109"/>
      <c r="W820" s="111"/>
      <c r="X820" s="109"/>
      <c r="Y820" s="109"/>
      <c r="Z820" s="110"/>
      <c r="AA820" s="109"/>
      <c r="AB820" s="111"/>
      <c r="AC820" s="109"/>
      <c r="AD820" s="109"/>
      <c r="AE820" s="110"/>
      <c r="AF820" s="109"/>
      <c r="AG820" s="111"/>
      <c r="AH820" s="109"/>
      <c r="AI820" s="109"/>
      <c r="AJ820" s="110"/>
      <c r="AK820" s="109"/>
      <c r="AL820" s="111"/>
      <c r="AM820" s="109"/>
      <c r="AN820" s="109"/>
      <c r="AO820" s="110"/>
      <c r="AP820" s="109"/>
      <c r="AQ820" s="111"/>
      <c r="AR820" s="109"/>
      <c r="AS820" s="109"/>
      <c r="AT820" s="110"/>
      <c r="AU820" s="109"/>
      <c r="AV820" s="111"/>
      <c r="AW820" s="109"/>
      <c r="AX820" s="109"/>
      <c r="AY820" s="110"/>
      <c r="AZ820" s="109"/>
      <c r="BA820" s="111"/>
      <c r="BB820" s="109"/>
      <c r="BC820" s="109"/>
      <c r="BD820" s="110"/>
      <c r="BE820" s="109"/>
      <c r="BF820" s="111"/>
      <c r="BG820" s="109"/>
      <c r="BH820" s="109"/>
      <c r="BI820" s="110"/>
      <c r="BJ820" s="109"/>
      <c r="BK820" s="111"/>
      <c r="BL820" s="109"/>
      <c r="BM820" s="109"/>
      <c r="BN820" s="110"/>
      <c r="BO820" s="109"/>
      <c r="BP820" s="111"/>
      <c r="BQ820" s="109"/>
      <c r="BR820" s="109"/>
      <c r="BS820" s="110"/>
      <c r="BT820" s="109"/>
      <c r="BU820" s="111"/>
      <c r="BV820" s="109"/>
      <c r="BW820" s="109"/>
      <c r="BX820" s="110"/>
      <c r="BY820" s="109"/>
      <c r="BZ820" s="111"/>
      <c r="CA820" s="109"/>
      <c r="CB820" s="109"/>
      <c r="CC820" s="110"/>
      <c r="CD820" s="109"/>
      <c r="CE820" s="111"/>
      <c r="CF820" s="109"/>
      <c r="CG820" s="109"/>
      <c r="CH820" s="110"/>
      <c r="CI820" s="109"/>
      <c r="CJ820" s="111"/>
      <c r="CK820" s="109"/>
      <c r="CL820" s="109"/>
      <c r="CM820" s="110"/>
      <c r="CN820" s="109"/>
      <c r="CO820" s="111"/>
      <c r="CP820" s="109"/>
      <c r="CQ820" s="109"/>
      <c r="CR820" s="110"/>
      <c r="CS820" s="109"/>
      <c r="CT820" s="111"/>
      <c r="CU820" s="109"/>
      <c r="CV820" s="109"/>
      <c r="CW820" s="110"/>
      <c r="CX820" s="109"/>
      <c r="CY820" s="111"/>
      <c r="CZ820" s="109"/>
      <c r="DA820" s="109"/>
      <c r="DB820" s="110"/>
      <c r="DC820" s="109"/>
      <c r="DD820" s="111"/>
      <c r="DE820" s="109"/>
      <c r="DF820" s="109"/>
      <c r="DG820" s="110"/>
      <c r="DH820" s="109"/>
      <c r="DI820" s="111"/>
      <c r="DJ820" s="109"/>
      <c r="DK820" s="109"/>
      <c r="DL820" s="110"/>
      <c r="DM820" s="109"/>
      <c r="DN820" s="111"/>
      <c r="DO820" s="109"/>
      <c r="DP820" s="109"/>
      <c r="DQ820" s="110"/>
      <c r="DR820" s="109"/>
      <c r="DS820" s="111"/>
      <c r="DT820" s="109"/>
      <c r="DU820" s="109"/>
      <c r="DV820" s="110"/>
      <c r="DW820" s="109"/>
      <c r="DX820" s="111"/>
      <c r="DY820" s="109"/>
      <c r="DZ820" s="109"/>
      <c r="EA820" s="110"/>
      <c r="EB820" s="109"/>
      <c r="EC820" s="111"/>
      <c r="ED820" s="109"/>
      <c r="EE820" s="109"/>
      <c r="EF820" s="110"/>
      <c r="EG820" s="109"/>
      <c r="EH820" s="111"/>
      <c r="EI820" s="109"/>
      <c r="EJ820" s="109"/>
      <c r="EK820" s="110"/>
      <c r="EL820" s="109"/>
      <c r="EM820" s="111"/>
      <c r="EN820" s="109"/>
      <c r="EO820" s="109"/>
      <c r="EP820" s="110"/>
      <c r="EQ820" s="109"/>
      <c r="ER820" s="111"/>
      <c r="ES820" s="109"/>
      <c r="ET820" s="109"/>
      <c r="EU820" s="110"/>
      <c r="EV820" s="109"/>
      <c r="EW820" s="111"/>
      <c r="EX820" s="109"/>
      <c r="EY820" s="109"/>
      <c r="EZ820" s="110"/>
      <c r="FA820" s="109"/>
      <c r="FB820" s="111"/>
      <c r="FC820" s="109"/>
      <c r="FD820" s="109"/>
      <c r="FE820" s="110"/>
      <c r="FF820" s="109"/>
      <c r="FG820" s="111"/>
      <c r="FH820" s="109"/>
      <c r="FI820" s="109"/>
      <c r="FJ820" s="110"/>
      <c r="FK820" s="109"/>
      <c r="FL820" s="111"/>
      <c r="FM820" s="109"/>
      <c r="FN820" s="109"/>
      <c r="FO820" s="110"/>
      <c r="FP820" s="109"/>
      <c r="FQ820" s="111"/>
      <c r="FR820" s="109"/>
      <c r="FS820" s="109"/>
      <c r="FT820" s="110"/>
      <c r="FU820" s="109"/>
      <c r="FV820" s="111"/>
      <c r="FW820" s="109"/>
      <c r="FX820" s="109"/>
      <c r="FY820" s="110"/>
      <c r="FZ820" s="109"/>
      <c r="GA820" s="111"/>
      <c r="GB820" s="109"/>
      <c r="GC820" s="109"/>
      <c r="GD820" s="110"/>
      <c r="GE820" s="109"/>
      <c r="GF820" s="111"/>
      <c r="GG820" s="109"/>
      <c r="GH820" s="109"/>
      <c r="GI820" s="110"/>
      <c r="GJ820" s="109"/>
      <c r="GK820" s="111"/>
      <c r="GL820" s="109"/>
      <c r="GM820" s="109"/>
      <c r="GN820" s="110"/>
      <c r="GO820" s="109"/>
      <c r="GP820" s="111"/>
      <c r="GQ820" s="109"/>
      <c r="GR820" s="109"/>
      <c r="GS820" s="110"/>
      <c r="GT820" s="109"/>
      <c r="GU820" s="111"/>
      <c r="GV820" s="109"/>
      <c r="GW820" s="109"/>
      <c r="GX820" s="110"/>
      <c r="GY820" s="109"/>
      <c r="GZ820" s="111"/>
      <c r="HA820" s="109"/>
      <c r="HB820" s="109"/>
      <c r="HC820" s="110"/>
      <c r="HD820" s="109"/>
      <c r="HE820" s="111"/>
      <c r="HF820" s="109"/>
      <c r="HG820" s="109"/>
      <c r="HH820" s="110"/>
      <c r="HI820" s="109"/>
      <c r="HJ820" s="111"/>
      <c r="HK820" s="109"/>
      <c r="HL820" s="109"/>
      <c r="HM820" s="110"/>
      <c r="HN820" s="109"/>
      <c r="HO820" s="111"/>
      <c r="HP820" s="109"/>
      <c r="HQ820" s="109"/>
      <c r="HR820" s="110"/>
      <c r="HS820" s="109"/>
      <c r="HT820" s="111"/>
      <c r="HU820" s="109"/>
      <c r="HV820" s="109"/>
      <c r="HW820" s="110"/>
      <c r="HX820" s="109"/>
      <c r="HY820" s="111"/>
      <c r="HZ820" s="109"/>
      <c r="IA820" s="109"/>
      <c r="IB820" s="110"/>
      <c r="IC820" s="109"/>
      <c r="ID820" s="111"/>
      <c r="IE820" s="109"/>
      <c r="IF820" s="109"/>
      <c r="IG820" s="110"/>
      <c r="IH820" s="109"/>
      <c r="II820" s="111"/>
      <c r="IJ820" s="109"/>
      <c r="IK820" s="109"/>
      <c r="IL820" s="110"/>
      <c r="IM820" s="109"/>
      <c r="IN820" s="111"/>
      <c r="IO820" s="109"/>
      <c r="IP820" s="109"/>
      <c r="IQ820" s="110"/>
      <c r="IR820" s="109"/>
      <c r="IS820" s="111"/>
      <c r="IT820" s="109"/>
      <c r="IU820" s="109"/>
      <c r="IV820" s="110"/>
    </row>
    <row r="821" spans="1:256" s="123" customFormat="1" ht="14.25">
      <c r="A821" s="134">
        <v>37048</v>
      </c>
      <c r="B821" s="111">
        <v>52.3148</v>
      </c>
      <c r="C821" s="111">
        <f t="shared" si="13"/>
        <v>0.0523148</v>
      </c>
      <c r="D821" s="111">
        <v>29.2461</v>
      </c>
      <c r="E821" s="111">
        <v>34.5495</v>
      </c>
      <c r="F821" s="131"/>
      <c r="G821" s="109"/>
      <c r="H821" s="111"/>
      <c r="I821" s="109"/>
      <c r="J821" s="109"/>
      <c r="K821" s="110"/>
      <c r="L821" s="109"/>
      <c r="M821" s="111"/>
      <c r="N821" s="109"/>
      <c r="O821" s="109"/>
      <c r="P821" s="110"/>
      <c r="Q821" s="109"/>
      <c r="R821" s="111"/>
      <c r="S821" s="109"/>
      <c r="T821" s="109"/>
      <c r="U821" s="110"/>
      <c r="V821" s="109"/>
      <c r="W821" s="111"/>
      <c r="X821" s="109"/>
      <c r="Y821" s="109"/>
      <c r="Z821" s="110"/>
      <c r="AA821" s="109"/>
      <c r="AB821" s="111"/>
      <c r="AC821" s="109"/>
      <c r="AD821" s="109"/>
      <c r="AE821" s="110"/>
      <c r="AF821" s="109"/>
      <c r="AG821" s="111"/>
      <c r="AH821" s="109"/>
      <c r="AI821" s="109"/>
      <c r="AJ821" s="110"/>
      <c r="AK821" s="109"/>
      <c r="AL821" s="111"/>
      <c r="AM821" s="109"/>
      <c r="AN821" s="109"/>
      <c r="AO821" s="110"/>
      <c r="AP821" s="109"/>
      <c r="AQ821" s="111"/>
      <c r="AR821" s="109"/>
      <c r="AS821" s="109"/>
      <c r="AT821" s="110"/>
      <c r="AU821" s="109"/>
      <c r="AV821" s="111"/>
      <c r="AW821" s="109"/>
      <c r="AX821" s="109"/>
      <c r="AY821" s="110"/>
      <c r="AZ821" s="109"/>
      <c r="BA821" s="111"/>
      <c r="BB821" s="109"/>
      <c r="BC821" s="109"/>
      <c r="BD821" s="110"/>
      <c r="BE821" s="109"/>
      <c r="BF821" s="111"/>
      <c r="BG821" s="109"/>
      <c r="BH821" s="109"/>
      <c r="BI821" s="110"/>
      <c r="BJ821" s="109"/>
      <c r="BK821" s="111"/>
      <c r="BL821" s="109"/>
      <c r="BM821" s="109"/>
      <c r="BN821" s="110"/>
      <c r="BO821" s="109"/>
      <c r="BP821" s="111"/>
      <c r="BQ821" s="109"/>
      <c r="BR821" s="109"/>
      <c r="BS821" s="110"/>
      <c r="BT821" s="109"/>
      <c r="BU821" s="111"/>
      <c r="BV821" s="109"/>
      <c r="BW821" s="109"/>
      <c r="BX821" s="110"/>
      <c r="BY821" s="109"/>
      <c r="BZ821" s="111"/>
      <c r="CA821" s="109"/>
      <c r="CB821" s="109"/>
      <c r="CC821" s="110"/>
      <c r="CD821" s="109"/>
      <c r="CE821" s="111"/>
      <c r="CF821" s="109"/>
      <c r="CG821" s="109"/>
      <c r="CH821" s="110"/>
      <c r="CI821" s="109"/>
      <c r="CJ821" s="111"/>
      <c r="CK821" s="109"/>
      <c r="CL821" s="109"/>
      <c r="CM821" s="110"/>
      <c r="CN821" s="109"/>
      <c r="CO821" s="111"/>
      <c r="CP821" s="109"/>
      <c r="CQ821" s="109"/>
      <c r="CR821" s="110"/>
      <c r="CS821" s="109"/>
      <c r="CT821" s="111"/>
      <c r="CU821" s="109"/>
      <c r="CV821" s="109"/>
      <c r="CW821" s="110"/>
      <c r="CX821" s="109"/>
      <c r="CY821" s="111"/>
      <c r="CZ821" s="109"/>
      <c r="DA821" s="109"/>
      <c r="DB821" s="110"/>
      <c r="DC821" s="109"/>
      <c r="DD821" s="111"/>
      <c r="DE821" s="109"/>
      <c r="DF821" s="109"/>
      <c r="DG821" s="110"/>
      <c r="DH821" s="109"/>
      <c r="DI821" s="111"/>
      <c r="DJ821" s="109"/>
      <c r="DK821" s="109"/>
      <c r="DL821" s="110"/>
      <c r="DM821" s="109"/>
      <c r="DN821" s="111"/>
      <c r="DO821" s="109"/>
      <c r="DP821" s="109"/>
      <c r="DQ821" s="110"/>
      <c r="DR821" s="109"/>
      <c r="DS821" s="111"/>
      <c r="DT821" s="109"/>
      <c r="DU821" s="109"/>
      <c r="DV821" s="110"/>
      <c r="DW821" s="109"/>
      <c r="DX821" s="111"/>
      <c r="DY821" s="109"/>
      <c r="DZ821" s="109"/>
      <c r="EA821" s="110"/>
      <c r="EB821" s="109"/>
      <c r="EC821" s="111"/>
      <c r="ED821" s="109"/>
      <c r="EE821" s="109"/>
      <c r="EF821" s="110"/>
      <c r="EG821" s="109"/>
      <c r="EH821" s="111"/>
      <c r="EI821" s="109"/>
      <c r="EJ821" s="109"/>
      <c r="EK821" s="110"/>
      <c r="EL821" s="109"/>
      <c r="EM821" s="111"/>
      <c r="EN821" s="109"/>
      <c r="EO821" s="109"/>
      <c r="EP821" s="110"/>
      <c r="EQ821" s="109"/>
      <c r="ER821" s="111"/>
      <c r="ES821" s="109"/>
      <c r="ET821" s="109"/>
      <c r="EU821" s="110"/>
      <c r="EV821" s="109"/>
      <c r="EW821" s="111"/>
      <c r="EX821" s="109"/>
      <c r="EY821" s="109"/>
      <c r="EZ821" s="110"/>
      <c r="FA821" s="109"/>
      <c r="FB821" s="111"/>
      <c r="FC821" s="109"/>
      <c r="FD821" s="109"/>
      <c r="FE821" s="110"/>
      <c r="FF821" s="109"/>
      <c r="FG821" s="111"/>
      <c r="FH821" s="109"/>
      <c r="FI821" s="109"/>
      <c r="FJ821" s="110"/>
      <c r="FK821" s="109"/>
      <c r="FL821" s="111"/>
      <c r="FM821" s="109"/>
      <c r="FN821" s="109"/>
      <c r="FO821" s="110"/>
      <c r="FP821" s="109"/>
      <c r="FQ821" s="111"/>
      <c r="FR821" s="109"/>
      <c r="FS821" s="109"/>
      <c r="FT821" s="110"/>
      <c r="FU821" s="109"/>
      <c r="FV821" s="111"/>
      <c r="FW821" s="109"/>
      <c r="FX821" s="109"/>
      <c r="FY821" s="110"/>
      <c r="FZ821" s="109"/>
      <c r="GA821" s="111"/>
      <c r="GB821" s="109"/>
      <c r="GC821" s="109"/>
      <c r="GD821" s="110"/>
      <c r="GE821" s="109"/>
      <c r="GF821" s="111"/>
      <c r="GG821" s="109"/>
      <c r="GH821" s="109"/>
      <c r="GI821" s="110"/>
      <c r="GJ821" s="109"/>
      <c r="GK821" s="111"/>
      <c r="GL821" s="109"/>
      <c r="GM821" s="109"/>
      <c r="GN821" s="110"/>
      <c r="GO821" s="109"/>
      <c r="GP821" s="111"/>
      <c r="GQ821" s="109"/>
      <c r="GR821" s="109"/>
      <c r="GS821" s="110"/>
      <c r="GT821" s="109"/>
      <c r="GU821" s="111"/>
      <c r="GV821" s="109"/>
      <c r="GW821" s="109"/>
      <c r="GX821" s="110"/>
      <c r="GY821" s="109"/>
      <c r="GZ821" s="111"/>
      <c r="HA821" s="109"/>
      <c r="HB821" s="109"/>
      <c r="HC821" s="110"/>
      <c r="HD821" s="109"/>
      <c r="HE821" s="111"/>
      <c r="HF821" s="109"/>
      <c r="HG821" s="109"/>
      <c r="HH821" s="110"/>
      <c r="HI821" s="109"/>
      <c r="HJ821" s="111"/>
      <c r="HK821" s="109"/>
      <c r="HL821" s="109"/>
      <c r="HM821" s="110"/>
      <c r="HN821" s="109"/>
      <c r="HO821" s="111"/>
      <c r="HP821" s="109"/>
      <c r="HQ821" s="109"/>
      <c r="HR821" s="110"/>
      <c r="HS821" s="109"/>
      <c r="HT821" s="111"/>
      <c r="HU821" s="109"/>
      <c r="HV821" s="109"/>
      <c r="HW821" s="110"/>
      <c r="HX821" s="109"/>
      <c r="HY821" s="111"/>
      <c r="HZ821" s="109"/>
      <c r="IA821" s="109"/>
      <c r="IB821" s="110"/>
      <c r="IC821" s="109"/>
      <c r="ID821" s="111"/>
      <c r="IE821" s="109"/>
      <c r="IF821" s="109"/>
      <c r="IG821" s="110"/>
      <c r="IH821" s="109"/>
      <c r="II821" s="111"/>
      <c r="IJ821" s="109"/>
      <c r="IK821" s="109"/>
      <c r="IL821" s="110"/>
      <c r="IM821" s="109"/>
      <c r="IN821" s="111"/>
      <c r="IO821" s="109"/>
      <c r="IP821" s="109"/>
      <c r="IQ821" s="110"/>
      <c r="IR821" s="109"/>
      <c r="IS821" s="111"/>
      <c r="IT821" s="109"/>
      <c r="IU821" s="109"/>
      <c r="IV821" s="110"/>
    </row>
    <row r="822" spans="1:256" s="123" customFormat="1" ht="14.25">
      <c r="A822" s="134">
        <v>37049</v>
      </c>
      <c r="B822" s="111">
        <v>54.5928</v>
      </c>
      <c r="C822" s="111">
        <f t="shared" si="13"/>
        <v>0.0545928</v>
      </c>
      <c r="D822" s="111">
        <v>30.7217</v>
      </c>
      <c r="E822" s="111">
        <v>35.9613</v>
      </c>
      <c r="F822" s="131"/>
      <c r="G822" s="109"/>
      <c r="H822" s="111"/>
      <c r="I822" s="109"/>
      <c r="J822" s="109"/>
      <c r="K822" s="110"/>
      <c r="L822" s="109"/>
      <c r="M822" s="111"/>
      <c r="N822" s="109"/>
      <c r="O822" s="109"/>
      <c r="P822" s="110"/>
      <c r="Q822" s="109"/>
      <c r="R822" s="111"/>
      <c r="S822" s="109"/>
      <c r="T822" s="109"/>
      <c r="U822" s="110"/>
      <c r="V822" s="109"/>
      <c r="W822" s="111"/>
      <c r="X822" s="109"/>
      <c r="Y822" s="109"/>
      <c r="Z822" s="110"/>
      <c r="AA822" s="109"/>
      <c r="AB822" s="111"/>
      <c r="AC822" s="109"/>
      <c r="AD822" s="109"/>
      <c r="AE822" s="110"/>
      <c r="AF822" s="109"/>
      <c r="AG822" s="111"/>
      <c r="AH822" s="109"/>
      <c r="AI822" s="109"/>
      <c r="AJ822" s="110"/>
      <c r="AK822" s="109"/>
      <c r="AL822" s="111"/>
      <c r="AM822" s="109"/>
      <c r="AN822" s="109"/>
      <c r="AO822" s="110"/>
      <c r="AP822" s="109"/>
      <c r="AQ822" s="111"/>
      <c r="AR822" s="109"/>
      <c r="AS822" s="109"/>
      <c r="AT822" s="110"/>
      <c r="AU822" s="109"/>
      <c r="AV822" s="111"/>
      <c r="AW822" s="109"/>
      <c r="AX822" s="109"/>
      <c r="AY822" s="110"/>
      <c r="AZ822" s="109"/>
      <c r="BA822" s="111"/>
      <c r="BB822" s="109"/>
      <c r="BC822" s="109"/>
      <c r="BD822" s="110"/>
      <c r="BE822" s="109"/>
      <c r="BF822" s="111"/>
      <c r="BG822" s="109"/>
      <c r="BH822" s="109"/>
      <c r="BI822" s="110"/>
      <c r="BJ822" s="109"/>
      <c r="BK822" s="111"/>
      <c r="BL822" s="109"/>
      <c r="BM822" s="109"/>
      <c r="BN822" s="110"/>
      <c r="BO822" s="109"/>
      <c r="BP822" s="111"/>
      <c r="BQ822" s="109"/>
      <c r="BR822" s="109"/>
      <c r="BS822" s="110"/>
      <c r="BT822" s="109"/>
      <c r="BU822" s="111"/>
      <c r="BV822" s="109"/>
      <c r="BW822" s="109"/>
      <c r="BX822" s="110"/>
      <c r="BY822" s="109"/>
      <c r="BZ822" s="111"/>
      <c r="CA822" s="109"/>
      <c r="CB822" s="109"/>
      <c r="CC822" s="110"/>
      <c r="CD822" s="109"/>
      <c r="CE822" s="111"/>
      <c r="CF822" s="109"/>
      <c r="CG822" s="109"/>
      <c r="CH822" s="110"/>
      <c r="CI822" s="109"/>
      <c r="CJ822" s="111"/>
      <c r="CK822" s="109"/>
      <c r="CL822" s="109"/>
      <c r="CM822" s="110"/>
      <c r="CN822" s="109"/>
      <c r="CO822" s="111"/>
      <c r="CP822" s="109"/>
      <c r="CQ822" s="109"/>
      <c r="CR822" s="110"/>
      <c r="CS822" s="109"/>
      <c r="CT822" s="111"/>
      <c r="CU822" s="109"/>
      <c r="CV822" s="109"/>
      <c r="CW822" s="110"/>
      <c r="CX822" s="109"/>
      <c r="CY822" s="111"/>
      <c r="CZ822" s="109"/>
      <c r="DA822" s="109"/>
      <c r="DB822" s="110"/>
      <c r="DC822" s="109"/>
      <c r="DD822" s="111"/>
      <c r="DE822" s="109"/>
      <c r="DF822" s="109"/>
      <c r="DG822" s="110"/>
      <c r="DH822" s="109"/>
      <c r="DI822" s="111"/>
      <c r="DJ822" s="109"/>
      <c r="DK822" s="109"/>
      <c r="DL822" s="110"/>
      <c r="DM822" s="109"/>
      <c r="DN822" s="111"/>
      <c r="DO822" s="109"/>
      <c r="DP822" s="109"/>
      <c r="DQ822" s="110"/>
      <c r="DR822" s="109"/>
      <c r="DS822" s="111"/>
      <c r="DT822" s="109"/>
      <c r="DU822" s="109"/>
      <c r="DV822" s="110"/>
      <c r="DW822" s="109"/>
      <c r="DX822" s="111"/>
      <c r="DY822" s="109"/>
      <c r="DZ822" s="109"/>
      <c r="EA822" s="110"/>
      <c r="EB822" s="109"/>
      <c r="EC822" s="111"/>
      <c r="ED822" s="109"/>
      <c r="EE822" s="109"/>
      <c r="EF822" s="110"/>
      <c r="EG822" s="109"/>
      <c r="EH822" s="111"/>
      <c r="EI822" s="109"/>
      <c r="EJ822" s="109"/>
      <c r="EK822" s="110"/>
      <c r="EL822" s="109"/>
      <c r="EM822" s="111"/>
      <c r="EN822" s="109"/>
      <c r="EO822" s="109"/>
      <c r="EP822" s="110"/>
      <c r="EQ822" s="109"/>
      <c r="ER822" s="111"/>
      <c r="ES822" s="109"/>
      <c r="ET822" s="109"/>
      <c r="EU822" s="110"/>
      <c r="EV822" s="109"/>
      <c r="EW822" s="111"/>
      <c r="EX822" s="109"/>
      <c r="EY822" s="109"/>
      <c r="EZ822" s="110"/>
      <c r="FA822" s="109"/>
      <c r="FB822" s="111"/>
      <c r="FC822" s="109"/>
      <c r="FD822" s="109"/>
      <c r="FE822" s="110"/>
      <c r="FF822" s="109"/>
      <c r="FG822" s="111"/>
      <c r="FH822" s="109"/>
      <c r="FI822" s="109"/>
      <c r="FJ822" s="110"/>
      <c r="FK822" s="109"/>
      <c r="FL822" s="111"/>
      <c r="FM822" s="109"/>
      <c r="FN822" s="109"/>
      <c r="FO822" s="110"/>
      <c r="FP822" s="109"/>
      <c r="FQ822" s="111"/>
      <c r="FR822" s="109"/>
      <c r="FS822" s="109"/>
      <c r="FT822" s="110"/>
      <c r="FU822" s="109"/>
      <c r="FV822" s="111"/>
      <c r="FW822" s="109"/>
      <c r="FX822" s="109"/>
      <c r="FY822" s="110"/>
      <c r="FZ822" s="109"/>
      <c r="GA822" s="111"/>
      <c r="GB822" s="109"/>
      <c r="GC822" s="109"/>
      <c r="GD822" s="110"/>
      <c r="GE822" s="109"/>
      <c r="GF822" s="111"/>
      <c r="GG822" s="109"/>
      <c r="GH822" s="109"/>
      <c r="GI822" s="110"/>
      <c r="GJ822" s="109"/>
      <c r="GK822" s="111"/>
      <c r="GL822" s="109"/>
      <c r="GM822" s="109"/>
      <c r="GN822" s="110"/>
      <c r="GO822" s="109"/>
      <c r="GP822" s="111"/>
      <c r="GQ822" s="109"/>
      <c r="GR822" s="109"/>
      <c r="GS822" s="110"/>
      <c r="GT822" s="109"/>
      <c r="GU822" s="111"/>
      <c r="GV822" s="109"/>
      <c r="GW822" s="109"/>
      <c r="GX822" s="110"/>
      <c r="GY822" s="109"/>
      <c r="GZ822" s="111"/>
      <c r="HA822" s="109"/>
      <c r="HB822" s="109"/>
      <c r="HC822" s="110"/>
      <c r="HD822" s="109"/>
      <c r="HE822" s="111"/>
      <c r="HF822" s="109"/>
      <c r="HG822" s="109"/>
      <c r="HH822" s="110"/>
      <c r="HI822" s="109"/>
      <c r="HJ822" s="111"/>
      <c r="HK822" s="109"/>
      <c r="HL822" s="109"/>
      <c r="HM822" s="110"/>
      <c r="HN822" s="109"/>
      <c r="HO822" s="111"/>
      <c r="HP822" s="109"/>
      <c r="HQ822" s="109"/>
      <c r="HR822" s="110"/>
      <c r="HS822" s="109"/>
      <c r="HT822" s="111"/>
      <c r="HU822" s="109"/>
      <c r="HV822" s="109"/>
      <c r="HW822" s="110"/>
      <c r="HX822" s="109"/>
      <c r="HY822" s="111"/>
      <c r="HZ822" s="109"/>
      <c r="IA822" s="109"/>
      <c r="IB822" s="110"/>
      <c r="IC822" s="109"/>
      <c r="ID822" s="111"/>
      <c r="IE822" s="109"/>
      <c r="IF822" s="109"/>
      <c r="IG822" s="110"/>
      <c r="IH822" s="109"/>
      <c r="II822" s="111"/>
      <c r="IJ822" s="109"/>
      <c r="IK822" s="109"/>
      <c r="IL822" s="110"/>
      <c r="IM822" s="109"/>
      <c r="IN822" s="111"/>
      <c r="IO822" s="109"/>
      <c r="IP822" s="109"/>
      <c r="IQ822" s="110"/>
      <c r="IR822" s="109"/>
      <c r="IS822" s="111"/>
      <c r="IT822" s="109"/>
      <c r="IU822" s="109"/>
      <c r="IV822" s="110"/>
    </row>
    <row r="823" spans="1:256" s="123" customFormat="1" ht="14.25">
      <c r="A823" s="134">
        <v>37050</v>
      </c>
      <c r="B823" s="111">
        <v>53.9089</v>
      </c>
      <c r="C823" s="111">
        <f t="shared" si="13"/>
        <v>0.0539089</v>
      </c>
      <c r="D823" s="111">
        <v>29.9549</v>
      </c>
      <c r="E823" s="111">
        <v>35.3826</v>
      </c>
      <c r="F823" s="131"/>
      <c r="G823" s="109"/>
      <c r="H823" s="111"/>
      <c r="I823" s="109"/>
      <c r="J823" s="109"/>
      <c r="K823" s="110"/>
      <c r="L823" s="109"/>
      <c r="M823" s="111"/>
      <c r="N823" s="109"/>
      <c r="O823" s="109"/>
      <c r="P823" s="110"/>
      <c r="Q823" s="109"/>
      <c r="R823" s="111"/>
      <c r="S823" s="109"/>
      <c r="T823" s="109"/>
      <c r="U823" s="110"/>
      <c r="V823" s="109"/>
      <c r="W823" s="111"/>
      <c r="X823" s="109"/>
      <c r="Y823" s="109"/>
      <c r="Z823" s="110"/>
      <c r="AA823" s="109"/>
      <c r="AB823" s="111"/>
      <c r="AC823" s="109"/>
      <c r="AD823" s="109"/>
      <c r="AE823" s="110"/>
      <c r="AF823" s="109"/>
      <c r="AG823" s="111"/>
      <c r="AH823" s="109"/>
      <c r="AI823" s="109"/>
      <c r="AJ823" s="110"/>
      <c r="AK823" s="109"/>
      <c r="AL823" s="111"/>
      <c r="AM823" s="109"/>
      <c r="AN823" s="109"/>
      <c r="AO823" s="110"/>
      <c r="AP823" s="109"/>
      <c r="AQ823" s="111"/>
      <c r="AR823" s="109"/>
      <c r="AS823" s="109"/>
      <c r="AT823" s="110"/>
      <c r="AU823" s="109"/>
      <c r="AV823" s="111"/>
      <c r="AW823" s="109"/>
      <c r="AX823" s="109"/>
      <c r="AY823" s="110"/>
      <c r="AZ823" s="109"/>
      <c r="BA823" s="111"/>
      <c r="BB823" s="109"/>
      <c r="BC823" s="109"/>
      <c r="BD823" s="110"/>
      <c r="BE823" s="109"/>
      <c r="BF823" s="111"/>
      <c r="BG823" s="109"/>
      <c r="BH823" s="109"/>
      <c r="BI823" s="110"/>
      <c r="BJ823" s="109"/>
      <c r="BK823" s="111"/>
      <c r="BL823" s="109"/>
      <c r="BM823" s="109"/>
      <c r="BN823" s="110"/>
      <c r="BO823" s="109"/>
      <c r="BP823" s="111"/>
      <c r="BQ823" s="109"/>
      <c r="BR823" s="109"/>
      <c r="BS823" s="110"/>
      <c r="BT823" s="109"/>
      <c r="BU823" s="111"/>
      <c r="BV823" s="109"/>
      <c r="BW823" s="109"/>
      <c r="BX823" s="110"/>
      <c r="BY823" s="109"/>
      <c r="BZ823" s="111"/>
      <c r="CA823" s="109"/>
      <c r="CB823" s="109"/>
      <c r="CC823" s="110"/>
      <c r="CD823" s="109"/>
      <c r="CE823" s="111"/>
      <c r="CF823" s="109"/>
      <c r="CG823" s="109"/>
      <c r="CH823" s="110"/>
      <c r="CI823" s="109"/>
      <c r="CJ823" s="111"/>
      <c r="CK823" s="109"/>
      <c r="CL823" s="109"/>
      <c r="CM823" s="110"/>
      <c r="CN823" s="109"/>
      <c r="CO823" s="111"/>
      <c r="CP823" s="109"/>
      <c r="CQ823" s="109"/>
      <c r="CR823" s="110"/>
      <c r="CS823" s="109"/>
      <c r="CT823" s="111"/>
      <c r="CU823" s="109"/>
      <c r="CV823" s="109"/>
      <c r="CW823" s="110"/>
      <c r="CX823" s="109"/>
      <c r="CY823" s="111"/>
      <c r="CZ823" s="109"/>
      <c r="DA823" s="109"/>
      <c r="DB823" s="110"/>
      <c r="DC823" s="109"/>
      <c r="DD823" s="111"/>
      <c r="DE823" s="109"/>
      <c r="DF823" s="109"/>
      <c r="DG823" s="110"/>
      <c r="DH823" s="109"/>
      <c r="DI823" s="111"/>
      <c r="DJ823" s="109"/>
      <c r="DK823" s="109"/>
      <c r="DL823" s="110"/>
      <c r="DM823" s="109"/>
      <c r="DN823" s="111"/>
      <c r="DO823" s="109"/>
      <c r="DP823" s="109"/>
      <c r="DQ823" s="110"/>
      <c r="DR823" s="109"/>
      <c r="DS823" s="111"/>
      <c r="DT823" s="109"/>
      <c r="DU823" s="109"/>
      <c r="DV823" s="110"/>
      <c r="DW823" s="109"/>
      <c r="DX823" s="111"/>
      <c r="DY823" s="109"/>
      <c r="DZ823" s="109"/>
      <c r="EA823" s="110"/>
      <c r="EB823" s="109"/>
      <c r="EC823" s="111"/>
      <c r="ED823" s="109"/>
      <c r="EE823" s="109"/>
      <c r="EF823" s="110"/>
      <c r="EG823" s="109"/>
      <c r="EH823" s="111"/>
      <c r="EI823" s="109"/>
      <c r="EJ823" s="109"/>
      <c r="EK823" s="110"/>
      <c r="EL823" s="109"/>
      <c r="EM823" s="111"/>
      <c r="EN823" s="109"/>
      <c r="EO823" s="109"/>
      <c r="EP823" s="110"/>
      <c r="EQ823" s="109"/>
      <c r="ER823" s="111"/>
      <c r="ES823" s="109"/>
      <c r="ET823" s="109"/>
      <c r="EU823" s="110"/>
      <c r="EV823" s="109"/>
      <c r="EW823" s="111"/>
      <c r="EX823" s="109"/>
      <c r="EY823" s="109"/>
      <c r="EZ823" s="110"/>
      <c r="FA823" s="109"/>
      <c r="FB823" s="111"/>
      <c r="FC823" s="109"/>
      <c r="FD823" s="109"/>
      <c r="FE823" s="110"/>
      <c r="FF823" s="109"/>
      <c r="FG823" s="111"/>
      <c r="FH823" s="109"/>
      <c r="FI823" s="109"/>
      <c r="FJ823" s="110"/>
      <c r="FK823" s="109"/>
      <c r="FL823" s="111"/>
      <c r="FM823" s="109"/>
      <c r="FN823" s="109"/>
      <c r="FO823" s="110"/>
      <c r="FP823" s="109"/>
      <c r="FQ823" s="111"/>
      <c r="FR823" s="109"/>
      <c r="FS823" s="109"/>
      <c r="FT823" s="110"/>
      <c r="FU823" s="109"/>
      <c r="FV823" s="111"/>
      <c r="FW823" s="109"/>
      <c r="FX823" s="109"/>
      <c r="FY823" s="110"/>
      <c r="FZ823" s="109"/>
      <c r="GA823" s="111"/>
      <c r="GB823" s="109"/>
      <c r="GC823" s="109"/>
      <c r="GD823" s="110"/>
      <c r="GE823" s="109"/>
      <c r="GF823" s="111"/>
      <c r="GG823" s="109"/>
      <c r="GH823" s="109"/>
      <c r="GI823" s="110"/>
      <c r="GJ823" s="109"/>
      <c r="GK823" s="111"/>
      <c r="GL823" s="109"/>
      <c r="GM823" s="109"/>
      <c r="GN823" s="110"/>
      <c r="GO823" s="109"/>
      <c r="GP823" s="111"/>
      <c r="GQ823" s="109"/>
      <c r="GR823" s="109"/>
      <c r="GS823" s="110"/>
      <c r="GT823" s="109"/>
      <c r="GU823" s="111"/>
      <c r="GV823" s="109"/>
      <c r="GW823" s="109"/>
      <c r="GX823" s="110"/>
      <c r="GY823" s="109"/>
      <c r="GZ823" s="111"/>
      <c r="HA823" s="109"/>
      <c r="HB823" s="109"/>
      <c r="HC823" s="110"/>
      <c r="HD823" s="109"/>
      <c r="HE823" s="111"/>
      <c r="HF823" s="109"/>
      <c r="HG823" s="109"/>
      <c r="HH823" s="110"/>
      <c r="HI823" s="109"/>
      <c r="HJ823" s="111"/>
      <c r="HK823" s="109"/>
      <c r="HL823" s="109"/>
      <c r="HM823" s="110"/>
      <c r="HN823" s="109"/>
      <c r="HO823" s="111"/>
      <c r="HP823" s="109"/>
      <c r="HQ823" s="109"/>
      <c r="HR823" s="110"/>
      <c r="HS823" s="109"/>
      <c r="HT823" s="111"/>
      <c r="HU823" s="109"/>
      <c r="HV823" s="109"/>
      <c r="HW823" s="110"/>
      <c r="HX823" s="109"/>
      <c r="HY823" s="111"/>
      <c r="HZ823" s="109"/>
      <c r="IA823" s="109"/>
      <c r="IB823" s="110"/>
      <c r="IC823" s="109"/>
      <c r="ID823" s="111"/>
      <c r="IE823" s="109"/>
      <c r="IF823" s="109"/>
      <c r="IG823" s="110"/>
      <c r="IH823" s="109"/>
      <c r="II823" s="111"/>
      <c r="IJ823" s="109"/>
      <c r="IK823" s="109"/>
      <c r="IL823" s="110"/>
      <c r="IM823" s="109"/>
      <c r="IN823" s="111"/>
      <c r="IO823" s="109"/>
      <c r="IP823" s="109"/>
      <c r="IQ823" s="110"/>
      <c r="IR823" s="109"/>
      <c r="IS823" s="111"/>
      <c r="IT823" s="109"/>
      <c r="IU823" s="109"/>
      <c r="IV823" s="110"/>
    </row>
    <row r="824" spans="1:256" s="123" customFormat="1" ht="14.25">
      <c r="A824" s="134">
        <v>37053</v>
      </c>
      <c r="B824" s="111">
        <v>52.0332</v>
      </c>
      <c r="C824" s="111">
        <f t="shared" si="13"/>
        <v>0.0520332</v>
      </c>
      <c r="D824" s="111">
        <v>28.9518</v>
      </c>
      <c r="E824" s="111">
        <v>34.1897</v>
      </c>
      <c r="F824" s="131"/>
      <c r="G824" s="109"/>
      <c r="H824" s="111"/>
      <c r="I824" s="109"/>
      <c r="J824" s="109"/>
      <c r="K824" s="110"/>
      <c r="L824" s="109"/>
      <c r="M824" s="111"/>
      <c r="N824" s="109"/>
      <c r="O824" s="109"/>
      <c r="P824" s="110"/>
      <c r="Q824" s="109"/>
      <c r="R824" s="111"/>
      <c r="S824" s="109"/>
      <c r="T824" s="109"/>
      <c r="U824" s="110"/>
      <c r="V824" s="109"/>
      <c r="W824" s="111"/>
      <c r="X824" s="109"/>
      <c r="Y824" s="109"/>
      <c r="Z824" s="110"/>
      <c r="AA824" s="109"/>
      <c r="AB824" s="111"/>
      <c r="AC824" s="109"/>
      <c r="AD824" s="109"/>
      <c r="AE824" s="110"/>
      <c r="AF824" s="109"/>
      <c r="AG824" s="111"/>
      <c r="AH824" s="109"/>
      <c r="AI824" s="109"/>
      <c r="AJ824" s="110"/>
      <c r="AK824" s="109"/>
      <c r="AL824" s="111"/>
      <c r="AM824" s="109"/>
      <c r="AN824" s="109"/>
      <c r="AO824" s="110"/>
      <c r="AP824" s="109"/>
      <c r="AQ824" s="111"/>
      <c r="AR824" s="109"/>
      <c r="AS824" s="109"/>
      <c r="AT824" s="110"/>
      <c r="AU824" s="109"/>
      <c r="AV824" s="111"/>
      <c r="AW824" s="109"/>
      <c r="AX824" s="109"/>
      <c r="AY824" s="110"/>
      <c r="AZ824" s="109"/>
      <c r="BA824" s="111"/>
      <c r="BB824" s="109"/>
      <c r="BC824" s="109"/>
      <c r="BD824" s="110"/>
      <c r="BE824" s="109"/>
      <c r="BF824" s="111"/>
      <c r="BG824" s="109"/>
      <c r="BH824" s="109"/>
      <c r="BI824" s="110"/>
      <c r="BJ824" s="109"/>
      <c r="BK824" s="111"/>
      <c r="BL824" s="109"/>
      <c r="BM824" s="109"/>
      <c r="BN824" s="110"/>
      <c r="BO824" s="109"/>
      <c r="BP824" s="111"/>
      <c r="BQ824" s="109"/>
      <c r="BR824" s="109"/>
      <c r="BS824" s="110"/>
      <c r="BT824" s="109"/>
      <c r="BU824" s="111"/>
      <c r="BV824" s="109"/>
      <c r="BW824" s="109"/>
      <c r="BX824" s="110"/>
      <c r="BY824" s="109"/>
      <c r="BZ824" s="111"/>
      <c r="CA824" s="109"/>
      <c r="CB824" s="109"/>
      <c r="CC824" s="110"/>
      <c r="CD824" s="109"/>
      <c r="CE824" s="111"/>
      <c r="CF824" s="109"/>
      <c r="CG824" s="109"/>
      <c r="CH824" s="110"/>
      <c r="CI824" s="109"/>
      <c r="CJ824" s="111"/>
      <c r="CK824" s="109"/>
      <c r="CL824" s="109"/>
      <c r="CM824" s="110"/>
      <c r="CN824" s="109"/>
      <c r="CO824" s="111"/>
      <c r="CP824" s="109"/>
      <c r="CQ824" s="109"/>
      <c r="CR824" s="110"/>
      <c r="CS824" s="109"/>
      <c r="CT824" s="111"/>
      <c r="CU824" s="109"/>
      <c r="CV824" s="109"/>
      <c r="CW824" s="110"/>
      <c r="CX824" s="109"/>
      <c r="CY824" s="111"/>
      <c r="CZ824" s="109"/>
      <c r="DA824" s="109"/>
      <c r="DB824" s="110"/>
      <c r="DC824" s="109"/>
      <c r="DD824" s="111"/>
      <c r="DE824" s="109"/>
      <c r="DF824" s="109"/>
      <c r="DG824" s="110"/>
      <c r="DH824" s="109"/>
      <c r="DI824" s="111"/>
      <c r="DJ824" s="109"/>
      <c r="DK824" s="109"/>
      <c r="DL824" s="110"/>
      <c r="DM824" s="109"/>
      <c r="DN824" s="111"/>
      <c r="DO824" s="109"/>
      <c r="DP824" s="109"/>
      <c r="DQ824" s="110"/>
      <c r="DR824" s="109"/>
      <c r="DS824" s="111"/>
      <c r="DT824" s="109"/>
      <c r="DU824" s="109"/>
      <c r="DV824" s="110"/>
      <c r="DW824" s="109"/>
      <c r="DX824" s="111"/>
      <c r="DY824" s="109"/>
      <c r="DZ824" s="109"/>
      <c r="EA824" s="110"/>
      <c r="EB824" s="109"/>
      <c r="EC824" s="111"/>
      <c r="ED824" s="109"/>
      <c r="EE824" s="109"/>
      <c r="EF824" s="110"/>
      <c r="EG824" s="109"/>
      <c r="EH824" s="111"/>
      <c r="EI824" s="109"/>
      <c r="EJ824" s="109"/>
      <c r="EK824" s="110"/>
      <c r="EL824" s="109"/>
      <c r="EM824" s="111"/>
      <c r="EN824" s="109"/>
      <c r="EO824" s="109"/>
      <c r="EP824" s="110"/>
      <c r="EQ824" s="109"/>
      <c r="ER824" s="111"/>
      <c r="ES824" s="109"/>
      <c r="ET824" s="109"/>
      <c r="EU824" s="110"/>
      <c r="EV824" s="109"/>
      <c r="EW824" s="111"/>
      <c r="EX824" s="109"/>
      <c r="EY824" s="109"/>
      <c r="EZ824" s="110"/>
      <c r="FA824" s="109"/>
      <c r="FB824" s="111"/>
      <c r="FC824" s="109"/>
      <c r="FD824" s="109"/>
      <c r="FE824" s="110"/>
      <c r="FF824" s="109"/>
      <c r="FG824" s="111"/>
      <c r="FH824" s="109"/>
      <c r="FI824" s="109"/>
      <c r="FJ824" s="110"/>
      <c r="FK824" s="109"/>
      <c r="FL824" s="111"/>
      <c r="FM824" s="109"/>
      <c r="FN824" s="109"/>
      <c r="FO824" s="110"/>
      <c r="FP824" s="109"/>
      <c r="FQ824" s="111"/>
      <c r="FR824" s="109"/>
      <c r="FS824" s="109"/>
      <c r="FT824" s="110"/>
      <c r="FU824" s="109"/>
      <c r="FV824" s="111"/>
      <c r="FW824" s="109"/>
      <c r="FX824" s="109"/>
      <c r="FY824" s="110"/>
      <c r="FZ824" s="109"/>
      <c r="GA824" s="111"/>
      <c r="GB824" s="109"/>
      <c r="GC824" s="109"/>
      <c r="GD824" s="110"/>
      <c r="GE824" s="109"/>
      <c r="GF824" s="111"/>
      <c r="GG824" s="109"/>
      <c r="GH824" s="109"/>
      <c r="GI824" s="110"/>
      <c r="GJ824" s="109"/>
      <c r="GK824" s="111"/>
      <c r="GL824" s="109"/>
      <c r="GM824" s="109"/>
      <c r="GN824" s="110"/>
      <c r="GO824" s="109"/>
      <c r="GP824" s="111"/>
      <c r="GQ824" s="109"/>
      <c r="GR824" s="109"/>
      <c r="GS824" s="110"/>
      <c r="GT824" s="109"/>
      <c r="GU824" s="111"/>
      <c r="GV824" s="109"/>
      <c r="GW824" s="109"/>
      <c r="GX824" s="110"/>
      <c r="GY824" s="109"/>
      <c r="GZ824" s="111"/>
      <c r="HA824" s="109"/>
      <c r="HB824" s="109"/>
      <c r="HC824" s="110"/>
      <c r="HD824" s="109"/>
      <c r="HE824" s="111"/>
      <c r="HF824" s="109"/>
      <c r="HG824" s="109"/>
      <c r="HH824" s="110"/>
      <c r="HI824" s="109"/>
      <c r="HJ824" s="111"/>
      <c r="HK824" s="109"/>
      <c r="HL824" s="109"/>
      <c r="HM824" s="110"/>
      <c r="HN824" s="109"/>
      <c r="HO824" s="111"/>
      <c r="HP824" s="109"/>
      <c r="HQ824" s="109"/>
      <c r="HR824" s="110"/>
      <c r="HS824" s="109"/>
      <c r="HT824" s="111"/>
      <c r="HU824" s="109"/>
      <c r="HV824" s="109"/>
      <c r="HW824" s="110"/>
      <c r="HX824" s="109"/>
      <c r="HY824" s="111"/>
      <c r="HZ824" s="109"/>
      <c r="IA824" s="109"/>
      <c r="IB824" s="110"/>
      <c r="IC824" s="109"/>
      <c r="ID824" s="111"/>
      <c r="IE824" s="109"/>
      <c r="IF824" s="109"/>
      <c r="IG824" s="110"/>
      <c r="IH824" s="109"/>
      <c r="II824" s="111"/>
      <c r="IJ824" s="109"/>
      <c r="IK824" s="109"/>
      <c r="IL824" s="110"/>
      <c r="IM824" s="109"/>
      <c r="IN824" s="111"/>
      <c r="IO824" s="109"/>
      <c r="IP824" s="109"/>
      <c r="IQ824" s="110"/>
      <c r="IR824" s="109"/>
      <c r="IS824" s="111"/>
      <c r="IT824" s="109"/>
      <c r="IU824" s="109"/>
      <c r="IV824" s="110"/>
    </row>
    <row r="825" spans="1:256" s="123" customFormat="1" ht="14.25">
      <c r="A825" s="134">
        <v>37054</v>
      </c>
      <c r="B825" s="111">
        <v>50.1736</v>
      </c>
      <c r="C825" s="111">
        <f t="shared" si="13"/>
        <v>0.0501736</v>
      </c>
      <c r="D825" s="111">
        <v>27.9863</v>
      </c>
      <c r="E825" s="111">
        <v>32.9483</v>
      </c>
      <c r="F825" s="131"/>
      <c r="G825" s="109"/>
      <c r="H825" s="111"/>
      <c r="I825" s="109"/>
      <c r="J825" s="109"/>
      <c r="K825" s="110"/>
      <c r="L825" s="109"/>
      <c r="M825" s="111"/>
      <c r="N825" s="109"/>
      <c r="O825" s="109"/>
      <c r="P825" s="110"/>
      <c r="Q825" s="109"/>
      <c r="R825" s="111"/>
      <c r="S825" s="109"/>
      <c r="T825" s="109"/>
      <c r="U825" s="110"/>
      <c r="V825" s="109"/>
      <c r="W825" s="111"/>
      <c r="X825" s="109"/>
      <c r="Y825" s="109"/>
      <c r="Z825" s="110"/>
      <c r="AA825" s="109"/>
      <c r="AB825" s="111"/>
      <c r="AC825" s="109"/>
      <c r="AD825" s="109"/>
      <c r="AE825" s="110"/>
      <c r="AF825" s="109"/>
      <c r="AG825" s="111"/>
      <c r="AH825" s="109"/>
      <c r="AI825" s="109"/>
      <c r="AJ825" s="110"/>
      <c r="AK825" s="109"/>
      <c r="AL825" s="111"/>
      <c r="AM825" s="109"/>
      <c r="AN825" s="109"/>
      <c r="AO825" s="110"/>
      <c r="AP825" s="109"/>
      <c r="AQ825" s="111"/>
      <c r="AR825" s="109"/>
      <c r="AS825" s="109"/>
      <c r="AT825" s="110"/>
      <c r="AU825" s="109"/>
      <c r="AV825" s="111"/>
      <c r="AW825" s="109"/>
      <c r="AX825" s="109"/>
      <c r="AY825" s="110"/>
      <c r="AZ825" s="109"/>
      <c r="BA825" s="111"/>
      <c r="BB825" s="109"/>
      <c r="BC825" s="109"/>
      <c r="BD825" s="110"/>
      <c r="BE825" s="109"/>
      <c r="BF825" s="111"/>
      <c r="BG825" s="109"/>
      <c r="BH825" s="109"/>
      <c r="BI825" s="110"/>
      <c r="BJ825" s="109"/>
      <c r="BK825" s="111"/>
      <c r="BL825" s="109"/>
      <c r="BM825" s="109"/>
      <c r="BN825" s="110"/>
      <c r="BO825" s="109"/>
      <c r="BP825" s="111"/>
      <c r="BQ825" s="109"/>
      <c r="BR825" s="109"/>
      <c r="BS825" s="110"/>
      <c r="BT825" s="109"/>
      <c r="BU825" s="111"/>
      <c r="BV825" s="109"/>
      <c r="BW825" s="109"/>
      <c r="BX825" s="110"/>
      <c r="BY825" s="109"/>
      <c r="BZ825" s="111"/>
      <c r="CA825" s="109"/>
      <c r="CB825" s="109"/>
      <c r="CC825" s="110"/>
      <c r="CD825" s="109"/>
      <c r="CE825" s="111"/>
      <c r="CF825" s="109"/>
      <c r="CG825" s="109"/>
      <c r="CH825" s="110"/>
      <c r="CI825" s="109"/>
      <c r="CJ825" s="111"/>
      <c r="CK825" s="109"/>
      <c r="CL825" s="109"/>
      <c r="CM825" s="110"/>
      <c r="CN825" s="109"/>
      <c r="CO825" s="111"/>
      <c r="CP825" s="109"/>
      <c r="CQ825" s="109"/>
      <c r="CR825" s="110"/>
      <c r="CS825" s="109"/>
      <c r="CT825" s="111"/>
      <c r="CU825" s="109"/>
      <c r="CV825" s="109"/>
      <c r="CW825" s="110"/>
      <c r="CX825" s="109"/>
      <c r="CY825" s="111"/>
      <c r="CZ825" s="109"/>
      <c r="DA825" s="109"/>
      <c r="DB825" s="110"/>
      <c r="DC825" s="109"/>
      <c r="DD825" s="111"/>
      <c r="DE825" s="109"/>
      <c r="DF825" s="109"/>
      <c r="DG825" s="110"/>
      <c r="DH825" s="109"/>
      <c r="DI825" s="111"/>
      <c r="DJ825" s="109"/>
      <c r="DK825" s="109"/>
      <c r="DL825" s="110"/>
      <c r="DM825" s="109"/>
      <c r="DN825" s="111"/>
      <c r="DO825" s="109"/>
      <c r="DP825" s="109"/>
      <c r="DQ825" s="110"/>
      <c r="DR825" s="109"/>
      <c r="DS825" s="111"/>
      <c r="DT825" s="109"/>
      <c r="DU825" s="109"/>
      <c r="DV825" s="110"/>
      <c r="DW825" s="109"/>
      <c r="DX825" s="111"/>
      <c r="DY825" s="109"/>
      <c r="DZ825" s="109"/>
      <c r="EA825" s="110"/>
      <c r="EB825" s="109"/>
      <c r="EC825" s="111"/>
      <c r="ED825" s="109"/>
      <c r="EE825" s="109"/>
      <c r="EF825" s="110"/>
      <c r="EG825" s="109"/>
      <c r="EH825" s="111"/>
      <c r="EI825" s="109"/>
      <c r="EJ825" s="109"/>
      <c r="EK825" s="110"/>
      <c r="EL825" s="109"/>
      <c r="EM825" s="111"/>
      <c r="EN825" s="109"/>
      <c r="EO825" s="109"/>
      <c r="EP825" s="110"/>
      <c r="EQ825" s="109"/>
      <c r="ER825" s="111"/>
      <c r="ES825" s="109"/>
      <c r="ET825" s="109"/>
      <c r="EU825" s="110"/>
      <c r="EV825" s="109"/>
      <c r="EW825" s="111"/>
      <c r="EX825" s="109"/>
      <c r="EY825" s="109"/>
      <c r="EZ825" s="110"/>
      <c r="FA825" s="109"/>
      <c r="FB825" s="111"/>
      <c r="FC825" s="109"/>
      <c r="FD825" s="109"/>
      <c r="FE825" s="110"/>
      <c r="FF825" s="109"/>
      <c r="FG825" s="111"/>
      <c r="FH825" s="109"/>
      <c r="FI825" s="109"/>
      <c r="FJ825" s="110"/>
      <c r="FK825" s="109"/>
      <c r="FL825" s="111"/>
      <c r="FM825" s="109"/>
      <c r="FN825" s="109"/>
      <c r="FO825" s="110"/>
      <c r="FP825" s="109"/>
      <c r="FQ825" s="111"/>
      <c r="FR825" s="109"/>
      <c r="FS825" s="109"/>
      <c r="FT825" s="110"/>
      <c r="FU825" s="109"/>
      <c r="FV825" s="111"/>
      <c r="FW825" s="109"/>
      <c r="FX825" s="109"/>
      <c r="FY825" s="110"/>
      <c r="FZ825" s="109"/>
      <c r="GA825" s="111"/>
      <c r="GB825" s="109"/>
      <c r="GC825" s="109"/>
      <c r="GD825" s="110"/>
      <c r="GE825" s="109"/>
      <c r="GF825" s="111"/>
      <c r="GG825" s="109"/>
      <c r="GH825" s="109"/>
      <c r="GI825" s="110"/>
      <c r="GJ825" s="109"/>
      <c r="GK825" s="111"/>
      <c r="GL825" s="109"/>
      <c r="GM825" s="109"/>
      <c r="GN825" s="110"/>
      <c r="GO825" s="109"/>
      <c r="GP825" s="111"/>
      <c r="GQ825" s="109"/>
      <c r="GR825" s="109"/>
      <c r="GS825" s="110"/>
      <c r="GT825" s="109"/>
      <c r="GU825" s="111"/>
      <c r="GV825" s="109"/>
      <c r="GW825" s="109"/>
      <c r="GX825" s="110"/>
      <c r="GY825" s="109"/>
      <c r="GZ825" s="111"/>
      <c r="HA825" s="109"/>
      <c r="HB825" s="109"/>
      <c r="HC825" s="110"/>
      <c r="HD825" s="109"/>
      <c r="HE825" s="111"/>
      <c r="HF825" s="109"/>
      <c r="HG825" s="109"/>
      <c r="HH825" s="110"/>
      <c r="HI825" s="109"/>
      <c r="HJ825" s="111"/>
      <c r="HK825" s="109"/>
      <c r="HL825" s="109"/>
      <c r="HM825" s="110"/>
      <c r="HN825" s="109"/>
      <c r="HO825" s="111"/>
      <c r="HP825" s="109"/>
      <c r="HQ825" s="109"/>
      <c r="HR825" s="110"/>
      <c r="HS825" s="109"/>
      <c r="HT825" s="111"/>
      <c r="HU825" s="109"/>
      <c r="HV825" s="109"/>
      <c r="HW825" s="110"/>
      <c r="HX825" s="109"/>
      <c r="HY825" s="111"/>
      <c r="HZ825" s="109"/>
      <c r="IA825" s="109"/>
      <c r="IB825" s="110"/>
      <c r="IC825" s="109"/>
      <c r="ID825" s="111"/>
      <c r="IE825" s="109"/>
      <c r="IF825" s="109"/>
      <c r="IG825" s="110"/>
      <c r="IH825" s="109"/>
      <c r="II825" s="111"/>
      <c r="IJ825" s="109"/>
      <c r="IK825" s="109"/>
      <c r="IL825" s="110"/>
      <c r="IM825" s="109"/>
      <c r="IN825" s="111"/>
      <c r="IO825" s="109"/>
      <c r="IP825" s="109"/>
      <c r="IQ825" s="110"/>
      <c r="IR825" s="109"/>
      <c r="IS825" s="111"/>
      <c r="IT825" s="109"/>
      <c r="IU825" s="109"/>
      <c r="IV825" s="110"/>
    </row>
    <row r="826" spans="1:256" s="123" customFormat="1" ht="14.25">
      <c r="A826" s="134">
        <v>37055</v>
      </c>
      <c r="B826" s="111">
        <v>52.6084</v>
      </c>
      <c r="C826" s="111">
        <f t="shared" si="13"/>
        <v>0.05260840000000001</v>
      </c>
      <c r="D826" s="111">
        <v>29.2868</v>
      </c>
      <c r="E826" s="111">
        <v>34.5608</v>
      </c>
      <c r="F826" s="131"/>
      <c r="G826" s="109"/>
      <c r="H826" s="111"/>
      <c r="I826" s="109"/>
      <c r="J826" s="109"/>
      <c r="K826" s="110"/>
      <c r="L826" s="109"/>
      <c r="M826" s="111"/>
      <c r="N826" s="109"/>
      <c r="O826" s="109"/>
      <c r="P826" s="110"/>
      <c r="Q826" s="109"/>
      <c r="R826" s="111"/>
      <c r="S826" s="109"/>
      <c r="T826" s="109"/>
      <c r="U826" s="110"/>
      <c r="V826" s="109"/>
      <c r="W826" s="111"/>
      <c r="X826" s="109"/>
      <c r="Y826" s="109"/>
      <c r="Z826" s="110"/>
      <c r="AA826" s="109"/>
      <c r="AB826" s="111"/>
      <c r="AC826" s="109"/>
      <c r="AD826" s="109"/>
      <c r="AE826" s="110"/>
      <c r="AF826" s="109"/>
      <c r="AG826" s="111"/>
      <c r="AH826" s="109"/>
      <c r="AI826" s="109"/>
      <c r="AJ826" s="110"/>
      <c r="AK826" s="109"/>
      <c r="AL826" s="111"/>
      <c r="AM826" s="109"/>
      <c r="AN826" s="109"/>
      <c r="AO826" s="110"/>
      <c r="AP826" s="109"/>
      <c r="AQ826" s="111"/>
      <c r="AR826" s="109"/>
      <c r="AS826" s="109"/>
      <c r="AT826" s="110"/>
      <c r="AU826" s="109"/>
      <c r="AV826" s="111"/>
      <c r="AW826" s="109"/>
      <c r="AX826" s="109"/>
      <c r="AY826" s="110"/>
      <c r="AZ826" s="109"/>
      <c r="BA826" s="111"/>
      <c r="BB826" s="109"/>
      <c r="BC826" s="109"/>
      <c r="BD826" s="110"/>
      <c r="BE826" s="109"/>
      <c r="BF826" s="111"/>
      <c r="BG826" s="109"/>
      <c r="BH826" s="109"/>
      <c r="BI826" s="110"/>
      <c r="BJ826" s="109"/>
      <c r="BK826" s="111"/>
      <c r="BL826" s="109"/>
      <c r="BM826" s="109"/>
      <c r="BN826" s="110"/>
      <c r="BO826" s="109"/>
      <c r="BP826" s="111"/>
      <c r="BQ826" s="109"/>
      <c r="BR826" s="109"/>
      <c r="BS826" s="110"/>
      <c r="BT826" s="109"/>
      <c r="BU826" s="111"/>
      <c r="BV826" s="109"/>
      <c r="BW826" s="109"/>
      <c r="BX826" s="110"/>
      <c r="BY826" s="109"/>
      <c r="BZ826" s="111"/>
      <c r="CA826" s="109"/>
      <c r="CB826" s="109"/>
      <c r="CC826" s="110"/>
      <c r="CD826" s="109"/>
      <c r="CE826" s="111"/>
      <c r="CF826" s="109"/>
      <c r="CG826" s="109"/>
      <c r="CH826" s="110"/>
      <c r="CI826" s="109"/>
      <c r="CJ826" s="111"/>
      <c r="CK826" s="109"/>
      <c r="CL826" s="109"/>
      <c r="CM826" s="110"/>
      <c r="CN826" s="109"/>
      <c r="CO826" s="111"/>
      <c r="CP826" s="109"/>
      <c r="CQ826" s="109"/>
      <c r="CR826" s="110"/>
      <c r="CS826" s="109"/>
      <c r="CT826" s="111"/>
      <c r="CU826" s="109"/>
      <c r="CV826" s="109"/>
      <c r="CW826" s="110"/>
      <c r="CX826" s="109"/>
      <c r="CY826" s="111"/>
      <c r="CZ826" s="109"/>
      <c r="DA826" s="109"/>
      <c r="DB826" s="110"/>
      <c r="DC826" s="109"/>
      <c r="DD826" s="111"/>
      <c r="DE826" s="109"/>
      <c r="DF826" s="109"/>
      <c r="DG826" s="110"/>
      <c r="DH826" s="109"/>
      <c r="DI826" s="111"/>
      <c r="DJ826" s="109"/>
      <c r="DK826" s="109"/>
      <c r="DL826" s="110"/>
      <c r="DM826" s="109"/>
      <c r="DN826" s="111"/>
      <c r="DO826" s="109"/>
      <c r="DP826" s="109"/>
      <c r="DQ826" s="110"/>
      <c r="DR826" s="109"/>
      <c r="DS826" s="111"/>
      <c r="DT826" s="109"/>
      <c r="DU826" s="109"/>
      <c r="DV826" s="110"/>
      <c r="DW826" s="109"/>
      <c r="DX826" s="111"/>
      <c r="DY826" s="109"/>
      <c r="DZ826" s="109"/>
      <c r="EA826" s="110"/>
      <c r="EB826" s="109"/>
      <c r="EC826" s="111"/>
      <c r="ED826" s="109"/>
      <c r="EE826" s="109"/>
      <c r="EF826" s="110"/>
      <c r="EG826" s="109"/>
      <c r="EH826" s="111"/>
      <c r="EI826" s="109"/>
      <c r="EJ826" s="109"/>
      <c r="EK826" s="110"/>
      <c r="EL826" s="109"/>
      <c r="EM826" s="111"/>
      <c r="EN826" s="109"/>
      <c r="EO826" s="109"/>
      <c r="EP826" s="110"/>
      <c r="EQ826" s="109"/>
      <c r="ER826" s="111"/>
      <c r="ES826" s="109"/>
      <c r="ET826" s="109"/>
      <c r="EU826" s="110"/>
      <c r="EV826" s="109"/>
      <c r="EW826" s="111"/>
      <c r="EX826" s="109"/>
      <c r="EY826" s="109"/>
      <c r="EZ826" s="110"/>
      <c r="FA826" s="109"/>
      <c r="FB826" s="111"/>
      <c r="FC826" s="109"/>
      <c r="FD826" s="109"/>
      <c r="FE826" s="110"/>
      <c r="FF826" s="109"/>
      <c r="FG826" s="111"/>
      <c r="FH826" s="109"/>
      <c r="FI826" s="109"/>
      <c r="FJ826" s="110"/>
      <c r="FK826" s="109"/>
      <c r="FL826" s="111"/>
      <c r="FM826" s="109"/>
      <c r="FN826" s="109"/>
      <c r="FO826" s="110"/>
      <c r="FP826" s="109"/>
      <c r="FQ826" s="111"/>
      <c r="FR826" s="109"/>
      <c r="FS826" s="109"/>
      <c r="FT826" s="110"/>
      <c r="FU826" s="109"/>
      <c r="FV826" s="111"/>
      <c r="FW826" s="109"/>
      <c r="FX826" s="109"/>
      <c r="FY826" s="110"/>
      <c r="FZ826" s="109"/>
      <c r="GA826" s="111"/>
      <c r="GB826" s="109"/>
      <c r="GC826" s="109"/>
      <c r="GD826" s="110"/>
      <c r="GE826" s="109"/>
      <c r="GF826" s="111"/>
      <c r="GG826" s="109"/>
      <c r="GH826" s="109"/>
      <c r="GI826" s="110"/>
      <c r="GJ826" s="109"/>
      <c r="GK826" s="111"/>
      <c r="GL826" s="109"/>
      <c r="GM826" s="109"/>
      <c r="GN826" s="110"/>
      <c r="GO826" s="109"/>
      <c r="GP826" s="111"/>
      <c r="GQ826" s="109"/>
      <c r="GR826" s="109"/>
      <c r="GS826" s="110"/>
      <c r="GT826" s="109"/>
      <c r="GU826" s="111"/>
      <c r="GV826" s="109"/>
      <c r="GW826" s="109"/>
      <c r="GX826" s="110"/>
      <c r="GY826" s="109"/>
      <c r="GZ826" s="111"/>
      <c r="HA826" s="109"/>
      <c r="HB826" s="109"/>
      <c r="HC826" s="110"/>
      <c r="HD826" s="109"/>
      <c r="HE826" s="111"/>
      <c r="HF826" s="109"/>
      <c r="HG826" s="109"/>
      <c r="HH826" s="110"/>
      <c r="HI826" s="109"/>
      <c r="HJ826" s="111"/>
      <c r="HK826" s="109"/>
      <c r="HL826" s="109"/>
      <c r="HM826" s="110"/>
      <c r="HN826" s="109"/>
      <c r="HO826" s="111"/>
      <c r="HP826" s="109"/>
      <c r="HQ826" s="109"/>
      <c r="HR826" s="110"/>
      <c r="HS826" s="109"/>
      <c r="HT826" s="111"/>
      <c r="HU826" s="109"/>
      <c r="HV826" s="109"/>
      <c r="HW826" s="110"/>
      <c r="HX826" s="109"/>
      <c r="HY826" s="111"/>
      <c r="HZ826" s="109"/>
      <c r="IA826" s="109"/>
      <c r="IB826" s="110"/>
      <c r="IC826" s="109"/>
      <c r="ID826" s="111"/>
      <c r="IE826" s="109"/>
      <c r="IF826" s="109"/>
      <c r="IG826" s="110"/>
      <c r="IH826" s="109"/>
      <c r="II826" s="111"/>
      <c r="IJ826" s="109"/>
      <c r="IK826" s="109"/>
      <c r="IL826" s="110"/>
      <c r="IM826" s="109"/>
      <c r="IN826" s="111"/>
      <c r="IO826" s="109"/>
      <c r="IP826" s="109"/>
      <c r="IQ826" s="110"/>
      <c r="IR826" s="109"/>
      <c r="IS826" s="111"/>
      <c r="IT826" s="109"/>
      <c r="IU826" s="109"/>
      <c r="IV826" s="110"/>
    </row>
    <row r="827" spans="1:256" s="123" customFormat="1" ht="14.25">
      <c r="A827" s="134">
        <v>37056</v>
      </c>
      <c r="B827" s="111">
        <v>39.8294</v>
      </c>
      <c r="C827" s="111">
        <f t="shared" si="13"/>
        <v>0.0398294</v>
      </c>
      <c r="D827" s="111">
        <v>22.2659</v>
      </c>
      <c r="E827" s="111">
        <v>26.0664</v>
      </c>
      <c r="F827" s="131"/>
      <c r="G827" s="109"/>
      <c r="H827" s="111"/>
      <c r="I827" s="109"/>
      <c r="J827" s="109"/>
      <c r="K827" s="110"/>
      <c r="L827" s="109"/>
      <c r="M827" s="111"/>
      <c r="N827" s="109"/>
      <c r="O827" s="109"/>
      <c r="P827" s="110"/>
      <c r="Q827" s="109"/>
      <c r="R827" s="111"/>
      <c r="S827" s="109"/>
      <c r="T827" s="109"/>
      <c r="U827" s="110"/>
      <c r="V827" s="109"/>
      <c r="W827" s="111"/>
      <c r="X827" s="109"/>
      <c r="Y827" s="109"/>
      <c r="Z827" s="110"/>
      <c r="AA827" s="109"/>
      <c r="AB827" s="111"/>
      <c r="AC827" s="109"/>
      <c r="AD827" s="109"/>
      <c r="AE827" s="110"/>
      <c r="AF827" s="109"/>
      <c r="AG827" s="111"/>
      <c r="AH827" s="109"/>
      <c r="AI827" s="109"/>
      <c r="AJ827" s="110"/>
      <c r="AK827" s="109"/>
      <c r="AL827" s="111"/>
      <c r="AM827" s="109"/>
      <c r="AN827" s="109"/>
      <c r="AO827" s="110"/>
      <c r="AP827" s="109"/>
      <c r="AQ827" s="111"/>
      <c r="AR827" s="109"/>
      <c r="AS827" s="109"/>
      <c r="AT827" s="110"/>
      <c r="AU827" s="109"/>
      <c r="AV827" s="111"/>
      <c r="AW827" s="109"/>
      <c r="AX827" s="109"/>
      <c r="AY827" s="110"/>
      <c r="AZ827" s="109"/>
      <c r="BA827" s="111"/>
      <c r="BB827" s="109"/>
      <c r="BC827" s="109"/>
      <c r="BD827" s="110"/>
      <c r="BE827" s="109"/>
      <c r="BF827" s="111"/>
      <c r="BG827" s="109"/>
      <c r="BH827" s="109"/>
      <c r="BI827" s="110"/>
      <c r="BJ827" s="109"/>
      <c r="BK827" s="111"/>
      <c r="BL827" s="109"/>
      <c r="BM827" s="109"/>
      <c r="BN827" s="110"/>
      <c r="BO827" s="109"/>
      <c r="BP827" s="111"/>
      <c r="BQ827" s="109"/>
      <c r="BR827" s="109"/>
      <c r="BS827" s="110"/>
      <c r="BT827" s="109"/>
      <c r="BU827" s="111"/>
      <c r="BV827" s="109"/>
      <c r="BW827" s="109"/>
      <c r="BX827" s="110"/>
      <c r="BY827" s="109"/>
      <c r="BZ827" s="111"/>
      <c r="CA827" s="109"/>
      <c r="CB827" s="109"/>
      <c r="CC827" s="110"/>
      <c r="CD827" s="109"/>
      <c r="CE827" s="111"/>
      <c r="CF827" s="109"/>
      <c r="CG827" s="109"/>
      <c r="CH827" s="110"/>
      <c r="CI827" s="109"/>
      <c r="CJ827" s="111"/>
      <c r="CK827" s="109"/>
      <c r="CL827" s="109"/>
      <c r="CM827" s="110"/>
      <c r="CN827" s="109"/>
      <c r="CO827" s="111"/>
      <c r="CP827" s="109"/>
      <c r="CQ827" s="109"/>
      <c r="CR827" s="110"/>
      <c r="CS827" s="109"/>
      <c r="CT827" s="111"/>
      <c r="CU827" s="109"/>
      <c r="CV827" s="109"/>
      <c r="CW827" s="110"/>
      <c r="CX827" s="109"/>
      <c r="CY827" s="111"/>
      <c r="CZ827" s="109"/>
      <c r="DA827" s="109"/>
      <c r="DB827" s="110"/>
      <c r="DC827" s="109"/>
      <c r="DD827" s="111"/>
      <c r="DE827" s="109"/>
      <c r="DF827" s="109"/>
      <c r="DG827" s="110"/>
      <c r="DH827" s="109"/>
      <c r="DI827" s="111"/>
      <c r="DJ827" s="109"/>
      <c r="DK827" s="109"/>
      <c r="DL827" s="110"/>
      <c r="DM827" s="109"/>
      <c r="DN827" s="111"/>
      <c r="DO827" s="109"/>
      <c r="DP827" s="109"/>
      <c r="DQ827" s="110"/>
      <c r="DR827" s="109"/>
      <c r="DS827" s="111"/>
      <c r="DT827" s="109"/>
      <c r="DU827" s="109"/>
      <c r="DV827" s="110"/>
      <c r="DW827" s="109"/>
      <c r="DX827" s="111"/>
      <c r="DY827" s="109"/>
      <c r="DZ827" s="109"/>
      <c r="EA827" s="110"/>
      <c r="EB827" s="109"/>
      <c r="EC827" s="111"/>
      <c r="ED827" s="109"/>
      <c r="EE827" s="109"/>
      <c r="EF827" s="110"/>
      <c r="EG827" s="109"/>
      <c r="EH827" s="111"/>
      <c r="EI827" s="109"/>
      <c r="EJ827" s="109"/>
      <c r="EK827" s="110"/>
      <c r="EL827" s="109"/>
      <c r="EM827" s="111"/>
      <c r="EN827" s="109"/>
      <c r="EO827" s="109"/>
      <c r="EP827" s="110"/>
      <c r="EQ827" s="109"/>
      <c r="ER827" s="111"/>
      <c r="ES827" s="109"/>
      <c r="ET827" s="109"/>
      <c r="EU827" s="110"/>
      <c r="EV827" s="109"/>
      <c r="EW827" s="111"/>
      <c r="EX827" s="109"/>
      <c r="EY827" s="109"/>
      <c r="EZ827" s="110"/>
      <c r="FA827" s="109"/>
      <c r="FB827" s="111"/>
      <c r="FC827" s="109"/>
      <c r="FD827" s="109"/>
      <c r="FE827" s="110"/>
      <c r="FF827" s="109"/>
      <c r="FG827" s="111"/>
      <c r="FH827" s="109"/>
      <c r="FI827" s="109"/>
      <c r="FJ827" s="110"/>
      <c r="FK827" s="109"/>
      <c r="FL827" s="111"/>
      <c r="FM827" s="109"/>
      <c r="FN827" s="109"/>
      <c r="FO827" s="110"/>
      <c r="FP827" s="109"/>
      <c r="FQ827" s="111"/>
      <c r="FR827" s="109"/>
      <c r="FS827" s="109"/>
      <c r="FT827" s="110"/>
      <c r="FU827" s="109"/>
      <c r="FV827" s="111"/>
      <c r="FW827" s="109"/>
      <c r="FX827" s="109"/>
      <c r="FY827" s="110"/>
      <c r="FZ827" s="109"/>
      <c r="GA827" s="111"/>
      <c r="GB827" s="109"/>
      <c r="GC827" s="109"/>
      <c r="GD827" s="110"/>
      <c r="GE827" s="109"/>
      <c r="GF827" s="111"/>
      <c r="GG827" s="109"/>
      <c r="GH827" s="109"/>
      <c r="GI827" s="110"/>
      <c r="GJ827" s="109"/>
      <c r="GK827" s="111"/>
      <c r="GL827" s="109"/>
      <c r="GM827" s="109"/>
      <c r="GN827" s="110"/>
      <c r="GO827" s="109"/>
      <c r="GP827" s="111"/>
      <c r="GQ827" s="109"/>
      <c r="GR827" s="109"/>
      <c r="GS827" s="110"/>
      <c r="GT827" s="109"/>
      <c r="GU827" s="111"/>
      <c r="GV827" s="109"/>
      <c r="GW827" s="109"/>
      <c r="GX827" s="110"/>
      <c r="GY827" s="109"/>
      <c r="GZ827" s="111"/>
      <c r="HA827" s="109"/>
      <c r="HB827" s="109"/>
      <c r="HC827" s="110"/>
      <c r="HD827" s="109"/>
      <c r="HE827" s="111"/>
      <c r="HF827" s="109"/>
      <c r="HG827" s="109"/>
      <c r="HH827" s="110"/>
      <c r="HI827" s="109"/>
      <c r="HJ827" s="111"/>
      <c r="HK827" s="109"/>
      <c r="HL827" s="109"/>
      <c r="HM827" s="110"/>
      <c r="HN827" s="109"/>
      <c r="HO827" s="111"/>
      <c r="HP827" s="109"/>
      <c r="HQ827" s="109"/>
      <c r="HR827" s="110"/>
      <c r="HS827" s="109"/>
      <c r="HT827" s="111"/>
      <c r="HU827" s="109"/>
      <c r="HV827" s="109"/>
      <c r="HW827" s="110"/>
      <c r="HX827" s="109"/>
      <c r="HY827" s="111"/>
      <c r="HZ827" s="109"/>
      <c r="IA827" s="109"/>
      <c r="IB827" s="110"/>
      <c r="IC827" s="109"/>
      <c r="ID827" s="111"/>
      <c r="IE827" s="109"/>
      <c r="IF827" s="109"/>
      <c r="IG827" s="110"/>
      <c r="IH827" s="109"/>
      <c r="II827" s="111"/>
      <c r="IJ827" s="109"/>
      <c r="IK827" s="109"/>
      <c r="IL827" s="110"/>
      <c r="IM827" s="109"/>
      <c r="IN827" s="111"/>
      <c r="IO827" s="109"/>
      <c r="IP827" s="109"/>
      <c r="IQ827" s="110"/>
      <c r="IR827" s="109"/>
      <c r="IS827" s="111"/>
      <c r="IT827" s="109"/>
      <c r="IU827" s="109"/>
      <c r="IV827" s="110"/>
    </row>
    <row r="828" spans="1:256" s="123" customFormat="1" ht="14.25">
      <c r="A828" s="134">
        <v>37057</v>
      </c>
      <c r="B828" s="111">
        <v>44.7582</v>
      </c>
      <c r="C828" s="111">
        <f t="shared" si="13"/>
        <v>0.044758200000000005</v>
      </c>
      <c r="D828" s="111">
        <v>24.9172</v>
      </c>
      <c r="E828" s="111">
        <v>29.3419</v>
      </c>
      <c r="F828" s="131"/>
      <c r="G828" s="109"/>
      <c r="H828" s="111"/>
      <c r="I828" s="109"/>
      <c r="J828" s="109"/>
      <c r="K828" s="110"/>
      <c r="L828" s="109"/>
      <c r="M828" s="111"/>
      <c r="N828" s="109"/>
      <c r="O828" s="109"/>
      <c r="P828" s="110"/>
      <c r="Q828" s="109"/>
      <c r="R828" s="111"/>
      <c r="S828" s="109"/>
      <c r="T828" s="109"/>
      <c r="U828" s="110"/>
      <c r="V828" s="109"/>
      <c r="W828" s="111"/>
      <c r="X828" s="109"/>
      <c r="Y828" s="109"/>
      <c r="Z828" s="110"/>
      <c r="AA828" s="109"/>
      <c r="AB828" s="111"/>
      <c r="AC828" s="109"/>
      <c r="AD828" s="109"/>
      <c r="AE828" s="110"/>
      <c r="AF828" s="109"/>
      <c r="AG828" s="111"/>
      <c r="AH828" s="109"/>
      <c r="AI828" s="109"/>
      <c r="AJ828" s="110"/>
      <c r="AK828" s="109"/>
      <c r="AL828" s="111"/>
      <c r="AM828" s="109"/>
      <c r="AN828" s="109"/>
      <c r="AO828" s="110"/>
      <c r="AP828" s="109"/>
      <c r="AQ828" s="111"/>
      <c r="AR828" s="109"/>
      <c r="AS828" s="109"/>
      <c r="AT828" s="110"/>
      <c r="AU828" s="109"/>
      <c r="AV828" s="111"/>
      <c r="AW828" s="109"/>
      <c r="AX828" s="109"/>
      <c r="AY828" s="110"/>
      <c r="AZ828" s="109"/>
      <c r="BA828" s="111"/>
      <c r="BB828" s="109"/>
      <c r="BC828" s="109"/>
      <c r="BD828" s="110"/>
      <c r="BE828" s="109"/>
      <c r="BF828" s="111"/>
      <c r="BG828" s="109"/>
      <c r="BH828" s="109"/>
      <c r="BI828" s="110"/>
      <c r="BJ828" s="109"/>
      <c r="BK828" s="111"/>
      <c r="BL828" s="109"/>
      <c r="BM828" s="109"/>
      <c r="BN828" s="110"/>
      <c r="BO828" s="109"/>
      <c r="BP828" s="111"/>
      <c r="BQ828" s="109"/>
      <c r="BR828" s="109"/>
      <c r="BS828" s="110"/>
      <c r="BT828" s="109"/>
      <c r="BU828" s="111"/>
      <c r="BV828" s="109"/>
      <c r="BW828" s="109"/>
      <c r="BX828" s="110"/>
      <c r="BY828" s="109"/>
      <c r="BZ828" s="111"/>
      <c r="CA828" s="109"/>
      <c r="CB828" s="109"/>
      <c r="CC828" s="110"/>
      <c r="CD828" s="109"/>
      <c r="CE828" s="111"/>
      <c r="CF828" s="109"/>
      <c r="CG828" s="109"/>
      <c r="CH828" s="110"/>
      <c r="CI828" s="109"/>
      <c r="CJ828" s="111"/>
      <c r="CK828" s="109"/>
      <c r="CL828" s="109"/>
      <c r="CM828" s="110"/>
      <c r="CN828" s="109"/>
      <c r="CO828" s="111"/>
      <c r="CP828" s="109"/>
      <c r="CQ828" s="109"/>
      <c r="CR828" s="110"/>
      <c r="CS828" s="109"/>
      <c r="CT828" s="111"/>
      <c r="CU828" s="109"/>
      <c r="CV828" s="109"/>
      <c r="CW828" s="110"/>
      <c r="CX828" s="109"/>
      <c r="CY828" s="111"/>
      <c r="CZ828" s="109"/>
      <c r="DA828" s="109"/>
      <c r="DB828" s="110"/>
      <c r="DC828" s="109"/>
      <c r="DD828" s="111"/>
      <c r="DE828" s="109"/>
      <c r="DF828" s="109"/>
      <c r="DG828" s="110"/>
      <c r="DH828" s="109"/>
      <c r="DI828" s="111"/>
      <c r="DJ828" s="109"/>
      <c r="DK828" s="109"/>
      <c r="DL828" s="110"/>
      <c r="DM828" s="109"/>
      <c r="DN828" s="111"/>
      <c r="DO828" s="109"/>
      <c r="DP828" s="109"/>
      <c r="DQ828" s="110"/>
      <c r="DR828" s="109"/>
      <c r="DS828" s="111"/>
      <c r="DT828" s="109"/>
      <c r="DU828" s="109"/>
      <c r="DV828" s="110"/>
      <c r="DW828" s="109"/>
      <c r="DX828" s="111"/>
      <c r="DY828" s="109"/>
      <c r="DZ828" s="109"/>
      <c r="EA828" s="110"/>
      <c r="EB828" s="109"/>
      <c r="EC828" s="111"/>
      <c r="ED828" s="109"/>
      <c r="EE828" s="109"/>
      <c r="EF828" s="110"/>
      <c r="EG828" s="109"/>
      <c r="EH828" s="111"/>
      <c r="EI828" s="109"/>
      <c r="EJ828" s="109"/>
      <c r="EK828" s="110"/>
      <c r="EL828" s="109"/>
      <c r="EM828" s="111"/>
      <c r="EN828" s="109"/>
      <c r="EO828" s="109"/>
      <c r="EP828" s="110"/>
      <c r="EQ828" s="109"/>
      <c r="ER828" s="111"/>
      <c r="ES828" s="109"/>
      <c r="ET828" s="109"/>
      <c r="EU828" s="110"/>
      <c r="EV828" s="109"/>
      <c r="EW828" s="111"/>
      <c r="EX828" s="109"/>
      <c r="EY828" s="109"/>
      <c r="EZ828" s="110"/>
      <c r="FA828" s="109"/>
      <c r="FB828" s="111"/>
      <c r="FC828" s="109"/>
      <c r="FD828" s="109"/>
      <c r="FE828" s="110"/>
      <c r="FF828" s="109"/>
      <c r="FG828" s="111"/>
      <c r="FH828" s="109"/>
      <c r="FI828" s="109"/>
      <c r="FJ828" s="110"/>
      <c r="FK828" s="109"/>
      <c r="FL828" s="111"/>
      <c r="FM828" s="109"/>
      <c r="FN828" s="109"/>
      <c r="FO828" s="110"/>
      <c r="FP828" s="109"/>
      <c r="FQ828" s="111"/>
      <c r="FR828" s="109"/>
      <c r="FS828" s="109"/>
      <c r="FT828" s="110"/>
      <c r="FU828" s="109"/>
      <c r="FV828" s="111"/>
      <c r="FW828" s="109"/>
      <c r="FX828" s="109"/>
      <c r="FY828" s="110"/>
      <c r="FZ828" s="109"/>
      <c r="GA828" s="111"/>
      <c r="GB828" s="109"/>
      <c r="GC828" s="109"/>
      <c r="GD828" s="110"/>
      <c r="GE828" s="109"/>
      <c r="GF828" s="111"/>
      <c r="GG828" s="109"/>
      <c r="GH828" s="109"/>
      <c r="GI828" s="110"/>
      <c r="GJ828" s="109"/>
      <c r="GK828" s="111"/>
      <c r="GL828" s="109"/>
      <c r="GM828" s="109"/>
      <c r="GN828" s="110"/>
      <c r="GO828" s="109"/>
      <c r="GP828" s="111"/>
      <c r="GQ828" s="109"/>
      <c r="GR828" s="109"/>
      <c r="GS828" s="110"/>
      <c r="GT828" s="109"/>
      <c r="GU828" s="111"/>
      <c r="GV828" s="109"/>
      <c r="GW828" s="109"/>
      <c r="GX828" s="110"/>
      <c r="GY828" s="109"/>
      <c r="GZ828" s="111"/>
      <c r="HA828" s="109"/>
      <c r="HB828" s="109"/>
      <c r="HC828" s="110"/>
      <c r="HD828" s="109"/>
      <c r="HE828" s="111"/>
      <c r="HF828" s="109"/>
      <c r="HG828" s="109"/>
      <c r="HH828" s="110"/>
      <c r="HI828" s="109"/>
      <c r="HJ828" s="111"/>
      <c r="HK828" s="109"/>
      <c r="HL828" s="109"/>
      <c r="HM828" s="110"/>
      <c r="HN828" s="109"/>
      <c r="HO828" s="111"/>
      <c r="HP828" s="109"/>
      <c r="HQ828" s="109"/>
      <c r="HR828" s="110"/>
      <c r="HS828" s="109"/>
      <c r="HT828" s="111"/>
      <c r="HU828" s="109"/>
      <c r="HV828" s="109"/>
      <c r="HW828" s="110"/>
      <c r="HX828" s="109"/>
      <c r="HY828" s="111"/>
      <c r="HZ828" s="109"/>
      <c r="IA828" s="109"/>
      <c r="IB828" s="110"/>
      <c r="IC828" s="109"/>
      <c r="ID828" s="111"/>
      <c r="IE828" s="109"/>
      <c r="IF828" s="109"/>
      <c r="IG828" s="110"/>
      <c r="IH828" s="109"/>
      <c r="II828" s="111"/>
      <c r="IJ828" s="109"/>
      <c r="IK828" s="109"/>
      <c r="IL828" s="110"/>
      <c r="IM828" s="109"/>
      <c r="IN828" s="111"/>
      <c r="IO828" s="109"/>
      <c r="IP828" s="109"/>
      <c r="IQ828" s="110"/>
      <c r="IR828" s="109"/>
      <c r="IS828" s="111"/>
      <c r="IT828" s="109"/>
      <c r="IU828" s="109"/>
      <c r="IV828" s="110"/>
    </row>
    <row r="829" spans="1:256" s="123" customFormat="1" ht="14.25">
      <c r="A829" s="134">
        <v>37060</v>
      </c>
      <c r="B829" s="111">
        <v>53.4133</v>
      </c>
      <c r="C829" s="111">
        <f t="shared" si="13"/>
        <v>0.053413300000000004</v>
      </c>
      <c r="D829" s="111">
        <v>30.3288</v>
      </c>
      <c r="E829" s="111">
        <v>35.0136</v>
      </c>
      <c r="F829" s="131"/>
      <c r="G829" s="109"/>
      <c r="H829" s="111"/>
      <c r="I829" s="109"/>
      <c r="J829" s="109"/>
      <c r="K829" s="110"/>
      <c r="L829" s="109"/>
      <c r="M829" s="111"/>
      <c r="N829" s="109"/>
      <c r="O829" s="109"/>
      <c r="P829" s="110"/>
      <c r="Q829" s="109"/>
      <c r="R829" s="111"/>
      <c r="S829" s="109"/>
      <c r="T829" s="109"/>
      <c r="U829" s="110"/>
      <c r="V829" s="109"/>
      <c r="W829" s="111"/>
      <c r="X829" s="109"/>
      <c r="Y829" s="109"/>
      <c r="Z829" s="110"/>
      <c r="AA829" s="109"/>
      <c r="AB829" s="111"/>
      <c r="AC829" s="109"/>
      <c r="AD829" s="109"/>
      <c r="AE829" s="110"/>
      <c r="AF829" s="109"/>
      <c r="AG829" s="111"/>
      <c r="AH829" s="109"/>
      <c r="AI829" s="109"/>
      <c r="AJ829" s="110"/>
      <c r="AK829" s="109"/>
      <c r="AL829" s="111"/>
      <c r="AM829" s="109"/>
      <c r="AN829" s="109"/>
      <c r="AO829" s="110"/>
      <c r="AP829" s="109"/>
      <c r="AQ829" s="111"/>
      <c r="AR829" s="109"/>
      <c r="AS829" s="109"/>
      <c r="AT829" s="110"/>
      <c r="AU829" s="109"/>
      <c r="AV829" s="111"/>
      <c r="AW829" s="109"/>
      <c r="AX829" s="109"/>
      <c r="AY829" s="110"/>
      <c r="AZ829" s="109"/>
      <c r="BA829" s="111"/>
      <c r="BB829" s="109"/>
      <c r="BC829" s="109"/>
      <c r="BD829" s="110"/>
      <c r="BE829" s="109"/>
      <c r="BF829" s="111"/>
      <c r="BG829" s="109"/>
      <c r="BH829" s="109"/>
      <c r="BI829" s="110"/>
      <c r="BJ829" s="109"/>
      <c r="BK829" s="111"/>
      <c r="BL829" s="109"/>
      <c r="BM829" s="109"/>
      <c r="BN829" s="110"/>
      <c r="BO829" s="109"/>
      <c r="BP829" s="111"/>
      <c r="BQ829" s="109"/>
      <c r="BR829" s="109"/>
      <c r="BS829" s="110"/>
      <c r="BT829" s="109"/>
      <c r="BU829" s="111"/>
      <c r="BV829" s="109"/>
      <c r="BW829" s="109"/>
      <c r="BX829" s="110"/>
      <c r="BY829" s="109"/>
      <c r="BZ829" s="111"/>
      <c r="CA829" s="109"/>
      <c r="CB829" s="109"/>
      <c r="CC829" s="110"/>
      <c r="CD829" s="109"/>
      <c r="CE829" s="111"/>
      <c r="CF829" s="109"/>
      <c r="CG829" s="109"/>
      <c r="CH829" s="110"/>
      <c r="CI829" s="109"/>
      <c r="CJ829" s="111"/>
      <c r="CK829" s="109"/>
      <c r="CL829" s="109"/>
      <c r="CM829" s="110"/>
      <c r="CN829" s="109"/>
      <c r="CO829" s="111"/>
      <c r="CP829" s="109"/>
      <c r="CQ829" s="109"/>
      <c r="CR829" s="110"/>
      <c r="CS829" s="109"/>
      <c r="CT829" s="111"/>
      <c r="CU829" s="109"/>
      <c r="CV829" s="109"/>
      <c r="CW829" s="110"/>
      <c r="CX829" s="109"/>
      <c r="CY829" s="111"/>
      <c r="CZ829" s="109"/>
      <c r="DA829" s="109"/>
      <c r="DB829" s="110"/>
      <c r="DC829" s="109"/>
      <c r="DD829" s="111"/>
      <c r="DE829" s="109"/>
      <c r="DF829" s="109"/>
      <c r="DG829" s="110"/>
      <c r="DH829" s="109"/>
      <c r="DI829" s="111"/>
      <c r="DJ829" s="109"/>
      <c r="DK829" s="109"/>
      <c r="DL829" s="110"/>
      <c r="DM829" s="109"/>
      <c r="DN829" s="111"/>
      <c r="DO829" s="109"/>
      <c r="DP829" s="109"/>
      <c r="DQ829" s="110"/>
      <c r="DR829" s="109"/>
      <c r="DS829" s="111"/>
      <c r="DT829" s="109"/>
      <c r="DU829" s="109"/>
      <c r="DV829" s="110"/>
      <c r="DW829" s="109"/>
      <c r="DX829" s="111"/>
      <c r="DY829" s="109"/>
      <c r="DZ829" s="109"/>
      <c r="EA829" s="110"/>
      <c r="EB829" s="109"/>
      <c r="EC829" s="111"/>
      <c r="ED829" s="109"/>
      <c r="EE829" s="109"/>
      <c r="EF829" s="110"/>
      <c r="EG829" s="109"/>
      <c r="EH829" s="111"/>
      <c r="EI829" s="109"/>
      <c r="EJ829" s="109"/>
      <c r="EK829" s="110"/>
      <c r="EL829" s="109"/>
      <c r="EM829" s="111"/>
      <c r="EN829" s="109"/>
      <c r="EO829" s="109"/>
      <c r="EP829" s="110"/>
      <c r="EQ829" s="109"/>
      <c r="ER829" s="111"/>
      <c r="ES829" s="109"/>
      <c r="ET829" s="109"/>
      <c r="EU829" s="110"/>
      <c r="EV829" s="109"/>
      <c r="EW829" s="111"/>
      <c r="EX829" s="109"/>
      <c r="EY829" s="109"/>
      <c r="EZ829" s="110"/>
      <c r="FA829" s="109"/>
      <c r="FB829" s="111"/>
      <c r="FC829" s="109"/>
      <c r="FD829" s="109"/>
      <c r="FE829" s="110"/>
      <c r="FF829" s="109"/>
      <c r="FG829" s="111"/>
      <c r="FH829" s="109"/>
      <c r="FI829" s="109"/>
      <c r="FJ829" s="110"/>
      <c r="FK829" s="109"/>
      <c r="FL829" s="111"/>
      <c r="FM829" s="109"/>
      <c r="FN829" s="109"/>
      <c r="FO829" s="110"/>
      <c r="FP829" s="109"/>
      <c r="FQ829" s="111"/>
      <c r="FR829" s="109"/>
      <c r="FS829" s="109"/>
      <c r="FT829" s="110"/>
      <c r="FU829" s="109"/>
      <c r="FV829" s="111"/>
      <c r="FW829" s="109"/>
      <c r="FX829" s="109"/>
      <c r="FY829" s="110"/>
      <c r="FZ829" s="109"/>
      <c r="GA829" s="111"/>
      <c r="GB829" s="109"/>
      <c r="GC829" s="109"/>
      <c r="GD829" s="110"/>
      <c r="GE829" s="109"/>
      <c r="GF829" s="111"/>
      <c r="GG829" s="109"/>
      <c r="GH829" s="109"/>
      <c r="GI829" s="110"/>
      <c r="GJ829" s="109"/>
      <c r="GK829" s="111"/>
      <c r="GL829" s="109"/>
      <c r="GM829" s="109"/>
      <c r="GN829" s="110"/>
      <c r="GO829" s="109"/>
      <c r="GP829" s="111"/>
      <c r="GQ829" s="109"/>
      <c r="GR829" s="109"/>
      <c r="GS829" s="110"/>
      <c r="GT829" s="109"/>
      <c r="GU829" s="111"/>
      <c r="GV829" s="109"/>
      <c r="GW829" s="109"/>
      <c r="GX829" s="110"/>
      <c r="GY829" s="109"/>
      <c r="GZ829" s="111"/>
      <c r="HA829" s="109"/>
      <c r="HB829" s="109"/>
      <c r="HC829" s="110"/>
      <c r="HD829" s="109"/>
      <c r="HE829" s="111"/>
      <c r="HF829" s="109"/>
      <c r="HG829" s="109"/>
      <c r="HH829" s="110"/>
      <c r="HI829" s="109"/>
      <c r="HJ829" s="111"/>
      <c r="HK829" s="109"/>
      <c r="HL829" s="109"/>
      <c r="HM829" s="110"/>
      <c r="HN829" s="109"/>
      <c r="HO829" s="111"/>
      <c r="HP829" s="109"/>
      <c r="HQ829" s="109"/>
      <c r="HR829" s="110"/>
      <c r="HS829" s="109"/>
      <c r="HT829" s="111"/>
      <c r="HU829" s="109"/>
      <c r="HV829" s="109"/>
      <c r="HW829" s="110"/>
      <c r="HX829" s="109"/>
      <c r="HY829" s="111"/>
      <c r="HZ829" s="109"/>
      <c r="IA829" s="109"/>
      <c r="IB829" s="110"/>
      <c r="IC829" s="109"/>
      <c r="ID829" s="111"/>
      <c r="IE829" s="109"/>
      <c r="IF829" s="109"/>
      <c r="IG829" s="110"/>
      <c r="IH829" s="109"/>
      <c r="II829" s="111"/>
      <c r="IJ829" s="109"/>
      <c r="IK829" s="109"/>
      <c r="IL829" s="110"/>
      <c r="IM829" s="109"/>
      <c r="IN829" s="111"/>
      <c r="IO829" s="109"/>
      <c r="IP829" s="109"/>
      <c r="IQ829" s="110"/>
      <c r="IR829" s="109"/>
      <c r="IS829" s="111"/>
      <c r="IT829" s="109"/>
      <c r="IU829" s="109"/>
      <c r="IV829" s="110"/>
    </row>
    <row r="830" spans="1:256" s="123" customFormat="1" ht="14.25">
      <c r="A830" s="134">
        <v>37061</v>
      </c>
      <c r="B830" s="111">
        <v>55.1663</v>
      </c>
      <c r="C830" s="111">
        <f t="shared" si="13"/>
        <v>0.0551663</v>
      </c>
      <c r="D830" s="111">
        <v>30.9562</v>
      </c>
      <c r="E830" s="111">
        <v>36.0753</v>
      </c>
      <c r="F830" s="131"/>
      <c r="G830" s="109"/>
      <c r="H830" s="111"/>
      <c r="I830" s="109"/>
      <c r="J830" s="109"/>
      <c r="K830" s="110"/>
      <c r="L830" s="109"/>
      <c r="M830" s="111"/>
      <c r="N830" s="109"/>
      <c r="O830" s="109"/>
      <c r="P830" s="110"/>
      <c r="Q830" s="109"/>
      <c r="R830" s="111"/>
      <c r="S830" s="109"/>
      <c r="T830" s="109"/>
      <c r="U830" s="110"/>
      <c r="V830" s="109"/>
      <c r="W830" s="111"/>
      <c r="X830" s="109"/>
      <c r="Y830" s="109"/>
      <c r="Z830" s="110"/>
      <c r="AA830" s="109"/>
      <c r="AB830" s="111"/>
      <c r="AC830" s="109"/>
      <c r="AD830" s="109"/>
      <c r="AE830" s="110"/>
      <c r="AF830" s="109"/>
      <c r="AG830" s="111"/>
      <c r="AH830" s="109"/>
      <c r="AI830" s="109"/>
      <c r="AJ830" s="110"/>
      <c r="AK830" s="109"/>
      <c r="AL830" s="111"/>
      <c r="AM830" s="109"/>
      <c r="AN830" s="109"/>
      <c r="AO830" s="110"/>
      <c r="AP830" s="109"/>
      <c r="AQ830" s="111"/>
      <c r="AR830" s="109"/>
      <c r="AS830" s="109"/>
      <c r="AT830" s="110"/>
      <c r="AU830" s="109"/>
      <c r="AV830" s="111"/>
      <c r="AW830" s="109"/>
      <c r="AX830" s="109"/>
      <c r="AY830" s="110"/>
      <c r="AZ830" s="109"/>
      <c r="BA830" s="111"/>
      <c r="BB830" s="109"/>
      <c r="BC830" s="109"/>
      <c r="BD830" s="110"/>
      <c r="BE830" s="109"/>
      <c r="BF830" s="111"/>
      <c r="BG830" s="109"/>
      <c r="BH830" s="109"/>
      <c r="BI830" s="110"/>
      <c r="BJ830" s="109"/>
      <c r="BK830" s="111"/>
      <c r="BL830" s="109"/>
      <c r="BM830" s="109"/>
      <c r="BN830" s="110"/>
      <c r="BO830" s="109"/>
      <c r="BP830" s="111"/>
      <c r="BQ830" s="109"/>
      <c r="BR830" s="109"/>
      <c r="BS830" s="110"/>
      <c r="BT830" s="109"/>
      <c r="BU830" s="111"/>
      <c r="BV830" s="109"/>
      <c r="BW830" s="109"/>
      <c r="BX830" s="110"/>
      <c r="BY830" s="109"/>
      <c r="BZ830" s="111"/>
      <c r="CA830" s="109"/>
      <c r="CB830" s="109"/>
      <c r="CC830" s="110"/>
      <c r="CD830" s="109"/>
      <c r="CE830" s="111"/>
      <c r="CF830" s="109"/>
      <c r="CG830" s="109"/>
      <c r="CH830" s="110"/>
      <c r="CI830" s="109"/>
      <c r="CJ830" s="111"/>
      <c r="CK830" s="109"/>
      <c r="CL830" s="109"/>
      <c r="CM830" s="110"/>
      <c r="CN830" s="109"/>
      <c r="CO830" s="111"/>
      <c r="CP830" s="109"/>
      <c r="CQ830" s="109"/>
      <c r="CR830" s="110"/>
      <c r="CS830" s="109"/>
      <c r="CT830" s="111"/>
      <c r="CU830" s="109"/>
      <c r="CV830" s="109"/>
      <c r="CW830" s="110"/>
      <c r="CX830" s="109"/>
      <c r="CY830" s="111"/>
      <c r="CZ830" s="109"/>
      <c r="DA830" s="109"/>
      <c r="DB830" s="110"/>
      <c r="DC830" s="109"/>
      <c r="DD830" s="111"/>
      <c r="DE830" s="109"/>
      <c r="DF830" s="109"/>
      <c r="DG830" s="110"/>
      <c r="DH830" s="109"/>
      <c r="DI830" s="111"/>
      <c r="DJ830" s="109"/>
      <c r="DK830" s="109"/>
      <c r="DL830" s="110"/>
      <c r="DM830" s="109"/>
      <c r="DN830" s="111"/>
      <c r="DO830" s="109"/>
      <c r="DP830" s="109"/>
      <c r="DQ830" s="110"/>
      <c r="DR830" s="109"/>
      <c r="DS830" s="111"/>
      <c r="DT830" s="109"/>
      <c r="DU830" s="109"/>
      <c r="DV830" s="110"/>
      <c r="DW830" s="109"/>
      <c r="DX830" s="111"/>
      <c r="DY830" s="109"/>
      <c r="DZ830" s="109"/>
      <c r="EA830" s="110"/>
      <c r="EB830" s="109"/>
      <c r="EC830" s="111"/>
      <c r="ED830" s="109"/>
      <c r="EE830" s="109"/>
      <c r="EF830" s="110"/>
      <c r="EG830" s="109"/>
      <c r="EH830" s="111"/>
      <c r="EI830" s="109"/>
      <c r="EJ830" s="109"/>
      <c r="EK830" s="110"/>
      <c r="EL830" s="109"/>
      <c r="EM830" s="111"/>
      <c r="EN830" s="109"/>
      <c r="EO830" s="109"/>
      <c r="EP830" s="110"/>
      <c r="EQ830" s="109"/>
      <c r="ER830" s="111"/>
      <c r="ES830" s="109"/>
      <c r="ET830" s="109"/>
      <c r="EU830" s="110"/>
      <c r="EV830" s="109"/>
      <c r="EW830" s="111"/>
      <c r="EX830" s="109"/>
      <c r="EY830" s="109"/>
      <c r="EZ830" s="110"/>
      <c r="FA830" s="109"/>
      <c r="FB830" s="111"/>
      <c r="FC830" s="109"/>
      <c r="FD830" s="109"/>
      <c r="FE830" s="110"/>
      <c r="FF830" s="109"/>
      <c r="FG830" s="111"/>
      <c r="FH830" s="109"/>
      <c r="FI830" s="109"/>
      <c r="FJ830" s="110"/>
      <c r="FK830" s="109"/>
      <c r="FL830" s="111"/>
      <c r="FM830" s="109"/>
      <c r="FN830" s="109"/>
      <c r="FO830" s="110"/>
      <c r="FP830" s="109"/>
      <c r="FQ830" s="111"/>
      <c r="FR830" s="109"/>
      <c r="FS830" s="109"/>
      <c r="FT830" s="110"/>
      <c r="FU830" s="109"/>
      <c r="FV830" s="111"/>
      <c r="FW830" s="109"/>
      <c r="FX830" s="109"/>
      <c r="FY830" s="110"/>
      <c r="FZ830" s="109"/>
      <c r="GA830" s="111"/>
      <c r="GB830" s="109"/>
      <c r="GC830" s="109"/>
      <c r="GD830" s="110"/>
      <c r="GE830" s="109"/>
      <c r="GF830" s="111"/>
      <c r="GG830" s="109"/>
      <c r="GH830" s="109"/>
      <c r="GI830" s="110"/>
      <c r="GJ830" s="109"/>
      <c r="GK830" s="111"/>
      <c r="GL830" s="109"/>
      <c r="GM830" s="109"/>
      <c r="GN830" s="110"/>
      <c r="GO830" s="109"/>
      <c r="GP830" s="111"/>
      <c r="GQ830" s="109"/>
      <c r="GR830" s="109"/>
      <c r="GS830" s="110"/>
      <c r="GT830" s="109"/>
      <c r="GU830" s="111"/>
      <c r="GV830" s="109"/>
      <c r="GW830" s="109"/>
      <c r="GX830" s="110"/>
      <c r="GY830" s="109"/>
      <c r="GZ830" s="111"/>
      <c r="HA830" s="109"/>
      <c r="HB830" s="109"/>
      <c r="HC830" s="110"/>
      <c r="HD830" s="109"/>
      <c r="HE830" s="111"/>
      <c r="HF830" s="109"/>
      <c r="HG830" s="109"/>
      <c r="HH830" s="110"/>
      <c r="HI830" s="109"/>
      <c r="HJ830" s="111"/>
      <c r="HK830" s="109"/>
      <c r="HL830" s="109"/>
      <c r="HM830" s="110"/>
      <c r="HN830" s="109"/>
      <c r="HO830" s="111"/>
      <c r="HP830" s="109"/>
      <c r="HQ830" s="109"/>
      <c r="HR830" s="110"/>
      <c r="HS830" s="109"/>
      <c r="HT830" s="111"/>
      <c r="HU830" s="109"/>
      <c r="HV830" s="109"/>
      <c r="HW830" s="110"/>
      <c r="HX830" s="109"/>
      <c r="HY830" s="111"/>
      <c r="HZ830" s="109"/>
      <c r="IA830" s="109"/>
      <c r="IB830" s="110"/>
      <c r="IC830" s="109"/>
      <c r="ID830" s="111"/>
      <c r="IE830" s="109"/>
      <c r="IF830" s="109"/>
      <c r="IG830" s="110"/>
      <c r="IH830" s="109"/>
      <c r="II830" s="111"/>
      <c r="IJ830" s="109"/>
      <c r="IK830" s="109"/>
      <c r="IL830" s="110"/>
      <c r="IM830" s="109"/>
      <c r="IN830" s="111"/>
      <c r="IO830" s="109"/>
      <c r="IP830" s="109"/>
      <c r="IQ830" s="110"/>
      <c r="IR830" s="109"/>
      <c r="IS830" s="111"/>
      <c r="IT830" s="109"/>
      <c r="IU830" s="109"/>
      <c r="IV830" s="110"/>
    </row>
    <row r="831" spans="1:256" s="123" customFormat="1" ht="14.25">
      <c r="A831" s="134">
        <v>37062</v>
      </c>
      <c r="B831" s="111">
        <v>55.7632</v>
      </c>
      <c r="C831" s="111">
        <f t="shared" si="13"/>
        <v>0.0557632</v>
      </c>
      <c r="D831" s="111">
        <v>31.2092</v>
      </c>
      <c r="E831" s="111">
        <v>36.4465</v>
      </c>
      <c r="F831" s="131"/>
      <c r="G831" s="109"/>
      <c r="H831" s="111"/>
      <c r="I831" s="109"/>
      <c r="J831" s="109"/>
      <c r="K831" s="110"/>
      <c r="L831" s="109"/>
      <c r="M831" s="111"/>
      <c r="N831" s="109"/>
      <c r="O831" s="109"/>
      <c r="P831" s="110"/>
      <c r="Q831" s="109"/>
      <c r="R831" s="111"/>
      <c r="S831" s="109"/>
      <c r="T831" s="109"/>
      <c r="U831" s="110"/>
      <c r="V831" s="109"/>
      <c r="W831" s="111"/>
      <c r="X831" s="109"/>
      <c r="Y831" s="109"/>
      <c r="Z831" s="110"/>
      <c r="AA831" s="109"/>
      <c r="AB831" s="111"/>
      <c r="AC831" s="109"/>
      <c r="AD831" s="109"/>
      <c r="AE831" s="110"/>
      <c r="AF831" s="109"/>
      <c r="AG831" s="111"/>
      <c r="AH831" s="109"/>
      <c r="AI831" s="109"/>
      <c r="AJ831" s="110"/>
      <c r="AK831" s="109"/>
      <c r="AL831" s="111"/>
      <c r="AM831" s="109"/>
      <c r="AN831" s="109"/>
      <c r="AO831" s="110"/>
      <c r="AP831" s="109"/>
      <c r="AQ831" s="111"/>
      <c r="AR831" s="109"/>
      <c r="AS831" s="109"/>
      <c r="AT831" s="110"/>
      <c r="AU831" s="109"/>
      <c r="AV831" s="111"/>
      <c r="AW831" s="109"/>
      <c r="AX831" s="109"/>
      <c r="AY831" s="110"/>
      <c r="AZ831" s="109"/>
      <c r="BA831" s="111"/>
      <c r="BB831" s="109"/>
      <c r="BC831" s="109"/>
      <c r="BD831" s="110"/>
      <c r="BE831" s="109"/>
      <c r="BF831" s="111"/>
      <c r="BG831" s="109"/>
      <c r="BH831" s="109"/>
      <c r="BI831" s="110"/>
      <c r="BJ831" s="109"/>
      <c r="BK831" s="111"/>
      <c r="BL831" s="109"/>
      <c r="BM831" s="109"/>
      <c r="BN831" s="110"/>
      <c r="BO831" s="109"/>
      <c r="BP831" s="111"/>
      <c r="BQ831" s="109"/>
      <c r="BR831" s="109"/>
      <c r="BS831" s="110"/>
      <c r="BT831" s="109"/>
      <c r="BU831" s="111"/>
      <c r="BV831" s="109"/>
      <c r="BW831" s="109"/>
      <c r="BX831" s="110"/>
      <c r="BY831" s="109"/>
      <c r="BZ831" s="111"/>
      <c r="CA831" s="109"/>
      <c r="CB831" s="109"/>
      <c r="CC831" s="110"/>
      <c r="CD831" s="109"/>
      <c r="CE831" s="111"/>
      <c r="CF831" s="109"/>
      <c r="CG831" s="109"/>
      <c r="CH831" s="110"/>
      <c r="CI831" s="109"/>
      <c r="CJ831" s="111"/>
      <c r="CK831" s="109"/>
      <c r="CL831" s="109"/>
      <c r="CM831" s="110"/>
      <c r="CN831" s="109"/>
      <c r="CO831" s="111"/>
      <c r="CP831" s="109"/>
      <c r="CQ831" s="109"/>
      <c r="CR831" s="110"/>
      <c r="CS831" s="109"/>
      <c r="CT831" s="111"/>
      <c r="CU831" s="109"/>
      <c r="CV831" s="109"/>
      <c r="CW831" s="110"/>
      <c r="CX831" s="109"/>
      <c r="CY831" s="111"/>
      <c r="CZ831" s="109"/>
      <c r="DA831" s="109"/>
      <c r="DB831" s="110"/>
      <c r="DC831" s="109"/>
      <c r="DD831" s="111"/>
      <c r="DE831" s="109"/>
      <c r="DF831" s="109"/>
      <c r="DG831" s="110"/>
      <c r="DH831" s="109"/>
      <c r="DI831" s="111"/>
      <c r="DJ831" s="109"/>
      <c r="DK831" s="109"/>
      <c r="DL831" s="110"/>
      <c r="DM831" s="109"/>
      <c r="DN831" s="111"/>
      <c r="DO831" s="109"/>
      <c r="DP831" s="109"/>
      <c r="DQ831" s="110"/>
      <c r="DR831" s="109"/>
      <c r="DS831" s="111"/>
      <c r="DT831" s="109"/>
      <c r="DU831" s="109"/>
      <c r="DV831" s="110"/>
      <c r="DW831" s="109"/>
      <c r="DX831" s="111"/>
      <c r="DY831" s="109"/>
      <c r="DZ831" s="109"/>
      <c r="EA831" s="110"/>
      <c r="EB831" s="109"/>
      <c r="EC831" s="111"/>
      <c r="ED831" s="109"/>
      <c r="EE831" s="109"/>
      <c r="EF831" s="110"/>
      <c r="EG831" s="109"/>
      <c r="EH831" s="111"/>
      <c r="EI831" s="109"/>
      <c r="EJ831" s="109"/>
      <c r="EK831" s="110"/>
      <c r="EL831" s="109"/>
      <c r="EM831" s="111"/>
      <c r="EN831" s="109"/>
      <c r="EO831" s="109"/>
      <c r="EP831" s="110"/>
      <c r="EQ831" s="109"/>
      <c r="ER831" s="111"/>
      <c r="ES831" s="109"/>
      <c r="ET831" s="109"/>
      <c r="EU831" s="110"/>
      <c r="EV831" s="109"/>
      <c r="EW831" s="111"/>
      <c r="EX831" s="109"/>
      <c r="EY831" s="109"/>
      <c r="EZ831" s="110"/>
      <c r="FA831" s="109"/>
      <c r="FB831" s="111"/>
      <c r="FC831" s="109"/>
      <c r="FD831" s="109"/>
      <c r="FE831" s="110"/>
      <c r="FF831" s="109"/>
      <c r="FG831" s="111"/>
      <c r="FH831" s="109"/>
      <c r="FI831" s="109"/>
      <c r="FJ831" s="110"/>
      <c r="FK831" s="109"/>
      <c r="FL831" s="111"/>
      <c r="FM831" s="109"/>
      <c r="FN831" s="109"/>
      <c r="FO831" s="110"/>
      <c r="FP831" s="109"/>
      <c r="FQ831" s="111"/>
      <c r="FR831" s="109"/>
      <c r="FS831" s="109"/>
      <c r="FT831" s="110"/>
      <c r="FU831" s="109"/>
      <c r="FV831" s="111"/>
      <c r="FW831" s="109"/>
      <c r="FX831" s="109"/>
      <c r="FY831" s="110"/>
      <c r="FZ831" s="109"/>
      <c r="GA831" s="111"/>
      <c r="GB831" s="109"/>
      <c r="GC831" s="109"/>
      <c r="GD831" s="110"/>
      <c r="GE831" s="109"/>
      <c r="GF831" s="111"/>
      <c r="GG831" s="109"/>
      <c r="GH831" s="109"/>
      <c r="GI831" s="110"/>
      <c r="GJ831" s="109"/>
      <c r="GK831" s="111"/>
      <c r="GL831" s="109"/>
      <c r="GM831" s="109"/>
      <c r="GN831" s="110"/>
      <c r="GO831" s="109"/>
      <c r="GP831" s="111"/>
      <c r="GQ831" s="109"/>
      <c r="GR831" s="109"/>
      <c r="GS831" s="110"/>
      <c r="GT831" s="109"/>
      <c r="GU831" s="111"/>
      <c r="GV831" s="109"/>
      <c r="GW831" s="109"/>
      <c r="GX831" s="110"/>
      <c r="GY831" s="109"/>
      <c r="GZ831" s="111"/>
      <c r="HA831" s="109"/>
      <c r="HB831" s="109"/>
      <c r="HC831" s="110"/>
      <c r="HD831" s="109"/>
      <c r="HE831" s="111"/>
      <c r="HF831" s="109"/>
      <c r="HG831" s="109"/>
      <c r="HH831" s="110"/>
      <c r="HI831" s="109"/>
      <c r="HJ831" s="111"/>
      <c r="HK831" s="109"/>
      <c r="HL831" s="109"/>
      <c r="HM831" s="110"/>
      <c r="HN831" s="109"/>
      <c r="HO831" s="111"/>
      <c r="HP831" s="109"/>
      <c r="HQ831" s="109"/>
      <c r="HR831" s="110"/>
      <c r="HS831" s="109"/>
      <c r="HT831" s="111"/>
      <c r="HU831" s="109"/>
      <c r="HV831" s="109"/>
      <c r="HW831" s="110"/>
      <c r="HX831" s="109"/>
      <c r="HY831" s="111"/>
      <c r="HZ831" s="109"/>
      <c r="IA831" s="109"/>
      <c r="IB831" s="110"/>
      <c r="IC831" s="109"/>
      <c r="ID831" s="111"/>
      <c r="IE831" s="109"/>
      <c r="IF831" s="109"/>
      <c r="IG831" s="110"/>
      <c r="IH831" s="109"/>
      <c r="II831" s="111"/>
      <c r="IJ831" s="109"/>
      <c r="IK831" s="109"/>
      <c r="IL831" s="110"/>
      <c r="IM831" s="109"/>
      <c r="IN831" s="111"/>
      <c r="IO831" s="109"/>
      <c r="IP831" s="109"/>
      <c r="IQ831" s="110"/>
      <c r="IR831" s="109"/>
      <c r="IS831" s="111"/>
      <c r="IT831" s="109"/>
      <c r="IU831" s="109"/>
      <c r="IV831" s="110"/>
    </row>
    <row r="832" spans="1:256" s="123" customFormat="1" ht="14.25">
      <c r="A832" s="134">
        <v>37063</v>
      </c>
      <c r="B832" s="111">
        <v>53.6392</v>
      </c>
      <c r="C832" s="111">
        <f t="shared" si="13"/>
        <v>0.053639200000000005</v>
      </c>
      <c r="D832" s="111">
        <v>29.9469</v>
      </c>
      <c r="E832" s="111">
        <v>35.1779</v>
      </c>
      <c r="F832" s="131"/>
      <c r="G832" s="109"/>
      <c r="H832" s="111"/>
      <c r="I832" s="109"/>
      <c r="J832" s="109"/>
      <c r="K832" s="110"/>
      <c r="L832" s="109"/>
      <c r="M832" s="111"/>
      <c r="N832" s="109"/>
      <c r="O832" s="109"/>
      <c r="P832" s="110"/>
      <c r="Q832" s="109"/>
      <c r="R832" s="111"/>
      <c r="S832" s="109"/>
      <c r="T832" s="109"/>
      <c r="U832" s="110"/>
      <c r="V832" s="109"/>
      <c r="W832" s="111"/>
      <c r="X832" s="109"/>
      <c r="Y832" s="109"/>
      <c r="Z832" s="110"/>
      <c r="AA832" s="109"/>
      <c r="AB832" s="111"/>
      <c r="AC832" s="109"/>
      <c r="AD832" s="109"/>
      <c r="AE832" s="110"/>
      <c r="AF832" s="109"/>
      <c r="AG832" s="111"/>
      <c r="AH832" s="109"/>
      <c r="AI832" s="109"/>
      <c r="AJ832" s="110"/>
      <c r="AK832" s="109"/>
      <c r="AL832" s="111"/>
      <c r="AM832" s="109"/>
      <c r="AN832" s="109"/>
      <c r="AO832" s="110"/>
      <c r="AP832" s="109"/>
      <c r="AQ832" s="111"/>
      <c r="AR832" s="109"/>
      <c r="AS832" s="109"/>
      <c r="AT832" s="110"/>
      <c r="AU832" s="109"/>
      <c r="AV832" s="111"/>
      <c r="AW832" s="109"/>
      <c r="AX832" s="109"/>
      <c r="AY832" s="110"/>
      <c r="AZ832" s="109"/>
      <c r="BA832" s="111"/>
      <c r="BB832" s="109"/>
      <c r="BC832" s="109"/>
      <c r="BD832" s="110"/>
      <c r="BE832" s="109"/>
      <c r="BF832" s="111"/>
      <c r="BG832" s="109"/>
      <c r="BH832" s="109"/>
      <c r="BI832" s="110"/>
      <c r="BJ832" s="109"/>
      <c r="BK832" s="111"/>
      <c r="BL832" s="109"/>
      <c r="BM832" s="109"/>
      <c r="BN832" s="110"/>
      <c r="BO832" s="109"/>
      <c r="BP832" s="111"/>
      <c r="BQ832" s="109"/>
      <c r="BR832" s="109"/>
      <c r="BS832" s="110"/>
      <c r="BT832" s="109"/>
      <c r="BU832" s="111"/>
      <c r="BV832" s="109"/>
      <c r="BW832" s="109"/>
      <c r="BX832" s="110"/>
      <c r="BY832" s="109"/>
      <c r="BZ832" s="111"/>
      <c r="CA832" s="109"/>
      <c r="CB832" s="109"/>
      <c r="CC832" s="110"/>
      <c r="CD832" s="109"/>
      <c r="CE832" s="111"/>
      <c r="CF832" s="109"/>
      <c r="CG832" s="109"/>
      <c r="CH832" s="110"/>
      <c r="CI832" s="109"/>
      <c r="CJ832" s="111"/>
      <c r="CK832" s="109"/>
      <c r="CL832" s="109"/>
      <c r="CM832" s="110"/>
      <c r="CN832" s="109"/>
      <c r="CO832" s="111"/>
      <c r="CP832" s="109"/>
      <c r="CQ832" s="109"/>
      <c r="CR832" s="110"/>
      <c r="CS832" s="109"/>
      <c r="CT832" s="111"/>
      <c r="CU832" s="109"/>
      <c r="CV832" s="109"/>
      <c r="CW832" s="110"/>
      <c r="CX832" s="109"/>
      <c r="CY832" s="111"/>
      <c r="CZ832" s="109"/>
      <c r="DA832" s="109"/>
      <c r="DB832" s="110"/>
      <c r="DC832" s="109"/>
      <c r="DD832" s="111"/>
      <c r="DE832" s="109"/>
      <c r="DF832" s="109"/>
      <c r="DG832" s="110"/>
      <c r="DH832" s="109"/>
      <c r="DI832" s="111"/>
      <c r="DJ832" s="109"/>
      <c r="DK832" s="109"/>
      <c r="DL832" s="110"/>
      <c r="DM832" s="109"/>
      <c r="DN832" s="111"/>
      <c r="DO832" s="109"/>
      <c r="DP832" s="109"/>
      <c r="DQ832" s="110"/>
      <c r="DR832" s="109"/>
      <c r="DS832" s="111"/>
      <c r="DT832" s="109"/>
      <c r="DU832" s="109"/>
      <c r="DV832" s="110"/>
      <c r="DW832" s="109"/>
      <c r="DX832" s="111"/>
      <c r="DY832" s="109"/>
      <c r="DZ832" s="109"/>
      <c r="EA832" s="110"/>
      <c r="EB832" s="109"/>
      <c r="EC832" s="111"/>
      <c r="ED832" s="109"/>
      <c r="EE832" s="109"/>
      <c r="EF832" s="110"/>
      <c r="EG832" s="109"/>
      <c r="EH832" s="111"/>
      <c r="EI832" s="109"/>
      <c r="EJ832" s="109"/>
      <c r="EK832" s="110"/>
      <c r="EL832" s="109"/>
      <c r="EM832" s="111"/>
      <c r="EN832" s="109"/>
      <c r="EO832" s="109"/>
      <c r="EP832" s="110"/>
      <c r="EQ832" s="109"/>
      <c r="ER832" s="111"/>
      <c r="ES832" s="109"/>
      <c r="ET832" s="109"/>
      <c r="EU832" s="110"/>
      <c r="EV832" s="109"/>
      <c r="EW832" s="111"/>
      <c r="EX832" s="109"/>
      <c r="EY832" s="109"/>
      <c r="EZ832" s="110"/>
      <c r="FA832" s="109"/>
      <c r="FB832" s="111"/>
      <c r="FC832" s="109"/>
      <c r="FD832" s="109"/>
      <c r="FE832" s="110"/>
      <c r="FF832" s="109"/>
      <c r="FG832" s="111"/>
      <c r="FH832" s="109"/>
      <c r="FI832" s="109"/>
      <c r="FJ832" s="110"/>
      <c r="FK832" s="109"/>
      <c r="FL832" s="111"/>
      <c r="FM832" s="109"/>
      <c r="FN832" s="109"/>
      <c r="FO832" s="110"/>
      <c r="FP832" s="109"/>
      <c r="FQ832" s="111"/>
      <c r="FR832" s="109"/>
      <c r="FS832" s="109"/>
      <c r="FT832" s="110"/>
      <c r="FU832" s="109"/>
      <c r="FV832" s="111"/>
      <c r="FW832" s="109"/>
      <c r="FX832" s="109"/>
      <c r="FY832" s="110"/>
      <c r="FZ832" s="109"/>
      <c r="GA832" s="111"/>
      <c r="GB832" s="109"/>
      <c r="GC832" s="109"/>
      <c r="GD832" s="110"/>
      <c r="GE832" s="109"/>
      <c r="GF832" s="111"/>
      <c r="GG832" s="109"/>
      <c r="GH832" s="109"/>
      <c r="GI832" s="110"/>
      <c r="GJ832" s="109"/>
      <c r="GK832" s="111"/>
      <c r="GL832" s="109"/>
      <c r="GM832" s="109"/>
      <c r="GN832" s="110"/>
      <c r="GO832" s="109"/>
      <c r="GP832" s="111"/>
      <c r="GQ832" s="109"/>
      <c r="GR832" s="109"/>
      <c r="GS832" s="110"/>
      <c r="GT832" s="109"/>
      <c r="GU832" s="111"/>
      <c r="GV832" s="109"/>
      <c r="GW832" s="109"/>
      <c r="GX832" s="110"/>
      <c r="GY832" s="109"/>
      <c r="GZ832" s="111"/>
      <c r="HA832" s="109"/>
      <c r="HB832" s="109"/>
      <c r="HC832" s="110"/>
      <c r="HD832" s="109"/>
      <c r="HE832" s="111"/>
      <c r="HF832" s="109"/>
      <c r="HG832" s="109"/>
      <c r="HH832" s="110"/>
      <c r="HI832" s="109"/>
      <c r="HJ832" s="111"/>
      <c r="HK832" s="109"/>
      <c r="HL832" s="109"/>
      <c r="HM832" s="110"/>
      <c r="HN832" s="109"/>
      <c r="HO832" s="111"/>
      <c r="HP832" s="109"/>
      <c r="HQ832" s="109"/>
      <c r="HR832" s="110"/>
      <c r="HS832" s="109"/>
      <c r="HT832" s="111"/>
      <c r="HU832" s="109"/>
      <c r="HV832" s="109"/>
      <c r="HW832" s="110"/>
      <c r="HX832" s="109"/>
      <c r="HY832" s="111"/>
      <c r="HZ832" s="109"/>
      <c r="IA832" s="109"/>
      <c r="IB832" s="110"/>
      <c r="IC832" s="109"/>
      <c r="ID832" s="111"/>
      <c r="IE832" s="109"/>
      <c r="IF832" s="109"/>
      <c r="IG832" s="110"/>
      <c r="IH832" s="109"/>
      <c r="II832" s="111"/>
      <c r="IJ832" s="109"/>
      <c r="IK832" s="109"/>
      <c r="IL832" s="110"/>
      <c r="IM832" s="109"/>
      <c r="IN832" s="111"/>
      <c r="IO832" s="109"/>
      <c r="IP832" s="109"/>
      <c r="IQ832" s="110"/>
      <c r="IR832" s="109"/>
      <c r="IS832" s="111"/>
      <c r="IT832" s="109"/>
      <c r="IU832" s="109"/>
      <c r="IV832" s="110"/>
    </row>
    <row r="833" spans="1:256" s="123" customFormat="1" ht="14.25">
      <c r="A833" s="134">
        <v>37064</v>
      </c>
      <c r="B833" s="111">
        <v>53.3303</v>
      </c>
      <c r="C833" s="111">
        <f t="shared" si="13"/>
        <v>0.053330300000000004</v>
      </c>
      <c r="D833" s="111">
        <v>29.9974</v>
      </c>
      <c r="E833" s="111">
        <v>35.0765</v>
      </c>
      <c r="F833" s="131"/>
      <c r="G833" s="109"/>
      <c r="H833" s="111"/>
      <c r="I833" s="109"/>
      <c r="J833" s="109"/>
      <c r="K833" s="110"/>
      <c r="L833" s="109"/>
      <c r="M833" s="111"/>
      <c r="N833" s="109"/>
      <c r="O833" s="109"/>
      <c r="P833" s="110"/>
      <c r="Q833" s="109"/>
      <c r="R833" s="111"/>
      <c r="S833" s="109"/>
      <c r="T833" s="109"/>
      <c r="U833" s="110"/>
      <c r="V833" s="109"/>
      <c r="W833" s="111"/>
      <c r="X833" s="109"/>
      <c r="Y833" s="109"/>
      <c r="Z833" s="110"/>
      <c r="AA833" s="109"/>
      <c r="AB833" s="111"/>
      <c r="AC833" s="109"/>
      <c r="AD833" s="109"/>
      <c r="AE833" s="110"/>
      <c r="AF833" s="109"/>
      <c r="AG833" s="111"/>
      <c r="AH833" s="109"/>
      <c r="AI833" s="109"/>
      <c r="AJ833" s="110"/>
      <c r="AK833" s="109"/>
      <c r="AL833" s="111"/>
      <c r="AM833" s="109"/>
      <c r="AN833" s="109"/>
      <c r="AO833" s="110"/>
      <c r="AP833" s="109"/>
      <c r="AQ833" s="111"/>
      <c r="AR833" s="109"/>
      <c r="AS833" s="109"/>
      <c r="AT833" s="110"/>
      <c r="AU833" s="109"/>
      <c r="AV833" s="111"/>
      <c r="AW833" s="109"/>
      <c r="AX833" s="109"/>
      <c r="AY833" s="110"/>
      <c r="AZ833" s="109"/>
      <c r="BA833" s="111"/>
      <c r="BB833" s="109"/>
      <c r="BC833" s="109"/>
      <c r="BD833" s="110"/>
      <c r="BE833" s="109"/>
      <c r="BF833" s="111"/>
      <c r="BG833" s="109"/>
      <c r="BH833" s="109"/>
      <c r="BI833" s="110"/>
      <c r="BJ833" s="109"/>
      <c r="BK833" s="111"/>
      <c r="BL833" s="109"/>
      <c r="BM833" s="109"/>
      <c r="BN833" s="110"/>
      <c r="BO833" s="109"/>
      <c r="BP833" s="111"/>
      <c r="BQ833" s="109"/>
      <c r="BR833" s="109"/>
      <c r="BS833" s="110"/>
      <c r="BT833" s="109"/>
      <c r="BU833" s="111"/>
      <c r="BV833" s="109"/>
      <c r="BW833" s="109"/>
      <c r="BX833" s="110"/>
      <c r="BY833" s="109"/>
      <c r="BZ833" s="111"/>
      <c r="CA833" s="109"/>
      <c r="CB833" s="109"/>
      <c r="CC833" s="110"/>
      <c r="CD833" s="109"/>
      <c r="CE833" s="111"/>
      <c r="CF833" s="109"/>
      <c r="CG833" s="109"/>
      <c r="CH833" s="110"/>
      <c r="CI833" s="109"/>
      <c r="CJ833" s="111"/>
      <c r="CK833" s="109"/>
      <c r="CL833" s="109"/>
      <c r="CM833" s="110"/>
      <c r="CN833" s="109"/>
      <c r="CO833" s="111"/>
      <c r="CP833" s="109"/>
      <c r="CQ833" s="109"/>
      <c r="CR833" s="110"/>
      <c r="CS833" s="109"/>
      <c r="CT833" s="111"/>
      <c r="CU833" s="109"/>
      <c r="CV833" s="109"/>
      <c r="CW833" s="110"/>
      <c r="CX833" s="109"/>
      <c r="CY833" s="111"/>
      <c r="CZ833" s="109"/>
      <c r="DA833" s="109"/>
      <c r="DB833" s="110"/>
      <c r="DC833" s="109"/>
      <c r="DD833" s="111"/>
      <c r="DE833" s="109"/>
      <c r="DF833" s="109"/>
      <c r="DG833" s="110"/>
      <c r="DH833" s="109"/>
      <c r="DI833" s="111"/>
      <c r="DJ833" s="109"/>
      <c r="DK833" s="109"/>
      <c r="DL833" s="110"/>
      <c r="DM833" s="109"/>
      <c r="DN833" s="111"/>
      <c r="DO833" s="109"/>
      <c r="DP833" s="109"/>
      <c r="DQ833" s="110"/>
      <c r="DR833" s="109"/>
      <c r="DS833" s="111"/>
      <c r="DT833" s="109"/>
      <c r="DU833" s="109"/>
      <c r="DV833" s="110"/>
      <c r="DW833" s="109"/>
      <c r="DX833" s="111"/>
      <c r="DY833" s="109"/>
      <c r="DZ833" s="109"/>
      <c r="EA833" s="110"/>
      <c r="EB833" s="109"/>
      <c r="EC833" s="111"/>
      <c r="ED833" s="109"/>
      <c r="EE833" s="109"/>
      <c r="EF833" s="110"/>
      <c r="EG833" s="109"/>
      <c r="EH833" s="111"/>
      <c r="EI833" s="109"/>
      <c r="EJ833" s="109"/>
      <c r="EK833" s="110"/>
      <c r="EL833" s="109"/>
      <c r="EM833" s="111"/>
      <c r="EN833" s="109"/>
      <c r="EO833" s="109"/>
      <c r="EP833" s="110"/>
      <c r="EQ833" s="109"/>
      <c r="ER833" s="111"/>
      <c r="ES833" s="109"/>
      <c r="ET833" s="109"/>
      <c r="EU833" s="110"/>
      <c r="EV833" s="109"/>
      <c r="EW833" s="111"/>
      <c r="EX833" s="109"/>
      <c r="EY833" s="109"/>
      <c r="EZ833" s="110"/>
      <c r="FA833" s="109"/>
      <c r="FB833" s="111"/>
      <c r="FC833" s="109"/>
      <c r="FD833" s="109"/>
      <c r="FE833" s="110"/>
      <c r="FF833" s="109"/>
      <c r="FG833" s="111"/>
      <c r="FH833" s="109"/>
      <c r="FI833" s="109"/>
      <c r="FJ833" s="110"/>
      <c r="FK833" s="109"/>
      <c r="FL833" s="111"/>
      <c r="FM833" s="109"/>
      <c r="FN833" s="109"/>
      <c r="FO833" s="110"/>
      <c r="FP833" s="109"/>
      <c r="FQ833" s="111"/>
      <c r="FR833" s="109"/>
      <c r="FS833" s="109"/>
      <c r="FT833" s="110"/>
      <c r="FU833" s="109"/>
      <c r="FV833" s="111"/>
      <c r="FW833" s="109"/>
      <c r="FX833" s="109"/>
      <c r="FY833" s="110"/>
      <c r="FZ833" s="109"/>
      <c r="GA833" s="111"/>
      <c r="GB833" s="109"/>
      <c r="GC833" s="109"/>
      <c r="GD833" s="110"/>
      <c r="GE833" s="109"/>
      <c r="GF833" s="111"/>
      <c r="GG833" s="109"/>
      <c r="GH833" s="109"/>
      <c r="GI833" s="110"/>
      <c r="GJ833" s="109"/>
      <c r="GK833" s="111"/>
      <c r="GL833" s="109"/>
      <c r="GM833" s="109"/>
      <c r="GN833" s="110"/>
      <c r="GO833" s="109"/>
      <c r="GP833" s="111"/>
      <c r="GQ833" s="109"/>
      <c r="GR833" s="109"/>
      <c r="GS833" s="110"/>
      <c r="GT833" s="109"/>
      <c r="GU833" s="111"/>
      <c r="GV833" s="109"/>
      <c r="GW833" s="109"/>
      <c r="GX833" s="110"/>
      <c r="GY833" s="109"/>
      <c r="GZ833" s="111"/>
      <c r="HA833" s="109"/>
      <c r="HB833" s="109"/>
      <c r="HC833" s="110"/>
      <c r="HD833" s="109"/>
      <c r="HE833" s="111"/>
      <c r="HF833" s="109"/>
      <c r="HG833" s="109"/>
      <c r="HH833" s="110"/>
      <c r="HI833" s="109"/>
      <c r="HJ833" s="111"/>
      <c r="HK833" s="109"/>
      <c r="HL833" s="109"/>
      <c r="HM833" s="110"/>
      <c r="HN833" s="109"/>
      <c r="HO833" s="111"/>
      <c r="HP833" s="109"/>
      <c r="HQ833" s="109"/>
      <c r="HR833" s="110"/>
      <c r="HS833" s="109"/>
      <c r="HT833" s="111"/>
      <c r="HU833" s="109"/>
      <c r="HV833" s="109"/>
      <c r="HW833" s="110"/>
      <c r="HX833" s="109"/>
      <c r="HY833" s="111"/>
      <c r="HZ833" s="109"/>
      <c r="IA833" s="109"/>
      <c r="IB833" s="110"/>
      <c r="IC833" s="109"/>
      <c r="ID833" s="111"/>
      <c r="IE833" s="109"/>
      <c r="IF833" s="109"/>
      <c r="IG833" s="110"/>
      <c r="IH833" s="109"/>
      <c r="II833" s="111"/>
      <c r="IJ833" s="109"/>
      <c r="IK833" s="109"/>
      <c r="IL833" s="110"/>
      <c r="IM833" s="109"/>
      <c r="IN833" s="111"/>
      <c r="IO833" s="109"/>
      <c r="IP833" s="109"/>
      <c r="IQ833" s="110"/>
      <c r="IR833" s="109"/>
      <c r="IS833" s="111"/>
      <c r="IT833" s="109"/>
      <c r="IU833" s="109"/>
      <c r="IV833" s="110"/>
    </row>
    <row r="834" spans="1:256" s="123" customFormat="1" ht="14.25">
      <c r="A834" s="134">
        <v>37067</v>
      </c>
      <c r="B834" s="111">
        <v>51.3873</v>
      </c>
      <c r="C834" s="111">
        <f t="shared" si="13"/>
        <v>0.051387300000000004</v>
      </c>
      <c r="D834" s="111">
        <v>28.8918</v>
      </c>
      <c r="E834" s="111">
        <v>33.8788</v>
      </c>
      <c r="F834" s="131"/>
      <c r="G834" s="109"/>
      <c r="H834" s="111"/>
      <c r="I834" s="109"/>
      <c r="J834" s="109"/>
      <c r="K834" s="110"/>
      <c r="L834" s="109"/>
      <c r="M834" s="111"/>
      <c r="N834" s="109"/>
      <c r="O834" s="109"/>
      <c r="P834" s="110"/>
      <c r="Q834" s="109"/>
      <c r="R834" s="111"/>
      <c r="S834" s="109"/>
      <c r="T834" s="109"/>
      <c r="U834" s="110"/>
      <c r="V834" s="109"/>
      <c r="W834" s="111"/>
      <c r="X834" s="109"/>
      <c r="Y834" s="109"/>
      <c r="Z834" s="110"/>
      <c r="AA834" s="109"/>
      <c r="AB834" s="111"/>
      <c r="AC834" s="109"/>
      <c r="AD834" s="109"/>
      <c r="AE834" s="110"/>
      <c r="AF834" s="109"/>
      <c r="AG834" s="111"/>
      <c r="AH834" s="109"/>
      <c r="AI834" s="109"/>
      <c r="AJ834" s="110"/>
      <c r="AK834" s="109"/>
      <c r="AL834" s="111"/>
      <c r="AM834" s="109"/>
      <c r="AN834" s="109"/>
      <c r="AO834" s="110"/>
      <c r="AP834" s="109"/>
      <c r="AQ834" s="111"/>
      <c r="AR834" s="109"/>
      <c r="AS834" s="109"/>
      <c r="AT834" s="110"/>
      <c r="AU834" s="109"/>
      <c r="AV834" s="111"/>
      <c r="AW834" s="109"/>
      <c r="AX834" s="109"/>
      <c r="AY834" s="110"/>
      <c r="AZ834" s="109"/>
      <c r="BA834" s="111"/>
      <c r="BB834" s="109"/>
      <c r="BC834" s="109"/>
      <c r="BD834" s="110"/>
      <c r="BE834" s="109"/>
      <c r="BF834" s="111"/>
      <c r="BG834" s="109"/>
      <c r="BH834" s="109"/>
      <c r="BI834" s="110"/>
      <c r="BJ834" s="109"/>
      <c r="BK834" s="111"/>
      <c r="BL834" s="109"/>
      <c r="BM834" s="109"/>
      <c r="BN834" s="110"/>
      <c r="BO834" s="109"/>
      <c r="BP834" s="111"/>
      <c r="BQ834" s="109"/>
      <c r="BR834" s="109"/>
      <c r="BS834" s="110"/>
      <c r="BT834" s="109"/>
      <c r="BU834" s="111"/>
      <c r="BV834" s="109"/>
      <c r="BW834" s="109"/>
      <c r="BX834" s="110"/>
      <c r="BY834" s="109"/>
      <c r="BZ834" s="111"/>
      <c r="CA834" s="109"/>
      <c r="CB834" s="109"/>
      <c r="CC834" s="110"/>
      <c r="CD834" s="109"/>
      <c r="CE834" s="111"/>
      <c r="CF834" s="109"/>
      <c r="CG834" s="109"/>
      <c r="CH834" s="110"/>
      <c r="CI834" s="109"/>
      <c r="CJ834" s="111"/>
      <c r="CK834" s="109"/>
      <c r="CL834" s="109"/>
      <c r="CM834" s="110"/>
      <c r="CN834" s="109"/>
      <c r="CO834" s="111"/>
      <c r="CP834" s="109"/>
      <c r="CQ834" s="109"/>
      <c r="CR834" s="110"/>
      <c r="CS834" s="109"/>
      <c r="CT834" s="111"/>
      <c r="CU834" s="109"/>
      <c r="CV834" s="109"/>
      <c r="CW834" s="110"/>
      <c r="CX834" s="109"/>
      <c r="CY834" s="111"/>
      <c r="CZ834" s="109"/>
      <c r="DA834" s="109"/>
      <c r="DB834" s="110"/>
      <c r="DC834" s="109"/>
      <c r="DD834" s="111"/>
      <c r="DE834" s="109"/>
      <c r="DF834" s="109"/>
      <c r="DG834" s="110"/>
      <c r="DH834" s="109"/>
      <c r="DI834" s="111"/>
      <c r="DJ834" s="109"/>
      <c r="DK834" s="109"/>
      <c r="DL834" s="110"/>
      <c r="DM834" s="109"/>
      <c r="DN834" s="111"/>
      <c r="DO834" s="109"/>
      <c r="DP834" s="109"/>
      <c r="DQ834" s="110"/>
      <c r="DR834" s="109"/>
      <c r="DS834" s="111"/>
      <c r="DT834" s="109"/>
      <c r="DU834" s="109"/>
      <c r="DV834" s="110"/>
      <c r="DW834" s="109"/>
      <c r="DX834" s="111"/>
      <c r="DY834" s="109"/>
      <c r="DZ834" s="109"/>
      <c r="EA834" s="110"/>
      <c r="EB834" s="109"/>
      <c r="EC834" s="111"/>
      <c r="ED834" s="109"/>
      <c r="EE834" s="109"/>
      <c r="EF834" s="110"/>
      <c r="EG834" s="109"/>
      <c r="EH834" s="111"/>
      <c r="EI834" s="109"/>
      <c r="EJ834" s="109"/>
      <c r="EK834" s="110"/>
      <c r="EL834" s="109"/>
      <c r="EM834" s="111"/>
      <c r="EN834" s="109"/>
      <c r="EO834" s="109"/>
      <c r="EP834" s="110"/>
      <c r="EQ834" s="109"/>
      <c r="ER834" s="111"/>
      <c r="ES834" s="109"/>
      <c r="ET834" s="109"/>
      <c r="EU834" s="110"/>
      <c r="EV834" s="109"/>
      <c r="EW834" s="111"/>
      <c r="EX834" s="109"/>
      <c r="EY834" s="109"/>
      <c r="EZ834" s="110"/>
      <c r="FA834" s="109"/>
      <c r="FB834" s="111"/>
      <c r="FC834" s="109"/>
      <c r="FD834" s="109"/>
      <c r="FE834" s="110"/>
      <c r="FF834" s="109"/>
      <c r="FG834" s="111"/>
      <c r="FH834" s="109"/>
      <c r="FI834" s="109"/>
      <c r="FJ834" s="110"/>
      <c r="FK834" s="109"/>
      <c r="FL834" s="111"/>
      <c r="FM834" s="109"/>
      <c r="FN834" s="109"/>
      <c r="FO834" s="110"/>
      <c r="FP834" s="109"/>
      <c r="FQ834" s="111"/>
      <c r="FR834" s="109"/>
      <c r="FS834" s="109"/>
      <c r="FT834" s="110"/>
      <c r="FU834" s="109"/>
      <c r="FV834" s="111"/>
      <c r="FW834" s="109"/>
      <c r="FX834" s="109"/>
      <c r="FY834" s="110"/>
      <c r="FZ834" s="109"/>
      <c r="GA834" s="111"/>
      <c r="GB834" s="109"/>
      <c r="GC834" s="109"/>
      <c r="GD834" s="110"/>
      <c r="GE834" s="109"/>
      <c r="GF834" s="111"/>
      <c r="GG834" s="109"/>
      <c r="GH834" s="109"/>
      <c r="GI834" s="110"/>
      <c r="GJ834" s="109"/>
      <c r="GK834" s="111"/>
      <c r="GL834" s="109"/>
      <c r="GM834" s="109"/>
      <c r="GN834" s="110"/>
      <c r="GO834" s="109"/>
      <c r="GP834" s="111"/>
      <c r="GQ834" s="109"/>
      <c r="GR834" s="109"/>
      <c r="GS834" s="110"/>
      <c r="GT834" s="109"/>
      <c r="GU834" s="111"/>
      <c r="GV834" s="109"/>
      <c r="GW834" s="109"/>
      <c r="GX834" s="110"/>
      <c r="GY834" s="109"/>
      <c r="GZ834" s="111"/>
      <c r="HA834" s="109"/>
      <c r="HB834" s="109"/>
      <c r="HC834" s="110"/>
      <c r="HD834" s="109"/>
      <c r="HE834" s="111"/>
      <c r="HF834" s="109"/>
      <c r="HG834" s="109"/>
      <c r="HH834" s="110"/>
      <c r="HI834" s="109"/>
      <c r="HJ834" s="111"/>
      <c r="HK834" s="109"/>
      <c r="HL834" s="109"/>
      <c r="HM834" s="110"/>
      <c r="HN834" s="109"/>
      <c r="HO834" s="111"/>
      <c r="HP834" s="109"/>
      <c r="HQ834" s="109"/>
      <c r="HR834" s="110"/>
      <c r="HS834" s="109"/>
      <c r="HT834" s="111"/>
      <c r="HU834" s="109"/>
      <c r="HV834" s="109"/>
      <c r="HW834" s="110"/>
      <c r="HX834" s="109"/>
      <c r="HY834" s="111"/>
      <c r="HZ834" s="109"/>
      <c r="IA834" s="109"/>
      <c r="IB834" s="110"/>
      <c r="IC834" s="109"/>
      <c r="ID834" s="111"/>
      <c r="IE834" s="109"/>
      <c r="IF834" s="109"/>
      <c r="IG834" s="110"/>
      <c r="IH834" s="109"/>
      <c r="II834" s="111"/>
      <c r="IJ834" s="109"/>
      <c r="IK834" s="109"/>
      <c r="IL834" s="110"/>
      <c r="IM834" s="109"/>
      <c r="IN834" s="111"/>
      <c r="IO834" s="109"/>
      <c r="IP834" s="109"/>
      <c r="IQ834" s="110"/>
      <c r="IR834" s="109"/>
      <c r="IS834" s="111"/>
      <c r="IT834" s="109"/>
      <c r="IU834" s="109"/>
      <c r="IV834" s="110"/>
    </row>
    <row r="835" spans="1:256" s="123" customFormat="1" ht="14.25">
      <c r="A835" s="134">
        <v>37068</v>
      </c>
      <c r="B835" s="111">
        <v>52.6525</v>
      </c>
      <c r="C835" s="111">
        <f aca="true" t="shared" si="14" ref="C835:C898">B835*10^-3</f>
        <v>0.052652500000000005</v>
      </c>
      <c r="D835" s="111">
        <v>29.8106</v>
      </c>
      <c r="E835" s="111">
        <v>34.6352</v>
      </c>
      <c r="F835" s="131"/>
      <c r="G835" s="109"/>
      <c r="H835" s="111"/>
      <c r="I835" s="109"/>
      <c r="J835" s="109"/>
      <c r="K835" s="110"/>
      <c r="L835" s="109"/>
      <c r="M835" s="111"/>
      <c r="N835" s="109"/>
      <c r="O835" s="109"/>
      <c r="P835" s="110"/>
      <c r="Q835" s="109"/>
      <c r="R835" s="111"/>
      <c r="S835" s="109"/>
      <c r="T835" s="109"/>
      <c r="U835" s="110"/>
      <c r="V835" s="109"/>
      <c r="W835" s="111"/>
      <c r="X835" s="109"/>
      <c r="Y835" s="109"/>
      <c r="Z835" s="110"/>
      <c r="AA835" s="109"/>
      <c r="AB835" s="111"/>
      <c r="AC835" s="109"/>
      <c r="AD835" s="109"/>
      <c r="AE835" s="110"/>
      <c r="AF835" s="109"/>
      <c r="AG835" s="111"/>
      <c r="AH835" s="109"/>
      <c r="AI835" s="109"/>
      <c r="AJ835" s="110"/>
      <c r="AK835" s="109"/>
      <c r="AL835" s="111"/>
      <c r="AM835" s="109"/>
      <c r="AN835" s="109"/>
      <c r="AO835" s="110"/>
      <c r="AP835" s="109"/>
      <c r="AQ835" s="111"/>
      <c r="AR835" s="109"/>
      <c r="AS835" s="109"/>
      <c r="AT835" s="110"/>
      <c r="AU835" s="109"/>
      <c r="AV835" s="111"/>
      <c r="AW835" s="109"/>
      <c r="AX835" s="109"/>
      <c r="AY835" s="110"/>
      <c r="AZ835" s="109"/>
      <c r="BA835" s="111"/>
      <c r="BB835" s="109"/>
      <c r="BC835" s="109"/>
      <c r="BD835" s="110"/>
      <c r="BE835" s="109"/>
      <c r="BF835" s="111"/>
      <c r="BG835" s="109"/>
      <c r="BH835" s="109"/>
      <c r="BI835" s="110"/>
      <c r="BJ835" s="109"/>
      <c r="BK835" s="111"/>
      <c r="BL835" s="109"/>
      <c r="BM835" s="109"/>
      <c r="BN835" s="110"/>
      <c r="BO835" s="109"/>
      <c r="BP835" s="111"/>
      <c r="BQ835" s="109"/>
      <c r="BR835" s="109"/>
      <c r="BS835" s="110"/>
      <c r="BT835" s="109"/>
      <c r="BU835" s="111"/>
      <c r="BV835" s="109"/>
      <c r="BW835" s="109"/>
      <c r="BX835" s="110"/>
      <c r="BY835" s="109"/>
      <c r="BZ835" s="111"/>
      <c r="CA835" s="109"/>
      <c r="CB835" s="109"/>
      <c r="CC835" s="110"/>
      <c r="CD835" s="109"/>
      <c r="CE835" s="111"/>
      <c r="CF835" s="109"/>
      <c r="CG835" s="109"/>
      <c r="CH835" s="110"/>
      <c r="CI835" s="109"/>
      <c r="CJ835" s="111"/>
      <c r="CK835" s="109"/>
      <c r="CL835" s="109"/>
      <c r="CM835" s="110"/>
      <c r="CN835" s="109"/>
      <c r="CO835" s="111"/>
      <c r="CP835" s="109"/>
      <c r="CQ835" s="109"/>
      <c r="CR835" s="110"/>
      <c r="CS835" s="109"/>
      <c r="CT835" s="111"/>
      <c r="CU835" s="109"/>
      <c r="CV835" s="109"/>
      <c r="CW835" s="110"/>
      <c r="CX835" s="109"/>
      <c r="CY835" s="111"/>
      <c r="CZ835" s="109"/>
      <c r="DA835" s="109"/>
      <c r="DB835" s="110"/>
      <c r="DC835" s="109"/>
      <c r="DD835" s="111"/>
      <c r="DE835" s="109"/>
      <c r="DF835" s="109"/>
      <c r="DG835" s="110"/>
      <c r="DH835" s="109"/>
      <c r="DI835" s="111"/>
      <c r="DJ835" s="109"/>
      <c r="DK835" s="109"/>
      <c r="DL835" s="110"/>
      <c r="DM835" s="109"/>
      <c r="DN835" s="111"/>
      <c r="DO835" s="109"/>
      <c r="DP835" s="109"/>
      <c r="DQ835" s="110"/>
      <c r="DR835" s="109"/>
      <c r="DS835" s="111"/>
      <c r="DT835" s="109"/>
      <c r="DU835" s="109"/>
      <c r="DV835" s="110"/>
      <c r="DW835" s="109"/>
      <c r="DX835" s="111"/>
      <c r="DY835" s="109"/>
      <c r="DZ835" s="109"/>
      <c r="EA835" s="110"/>
      <c r="EB835" s="109"/>
      <c r="EC835" s="111"/>
      <c r="ED835" s="109"/>
      <c r="EE835" s="109"/>
      <c r="EF835" s="110"/>
      <c r="EG835" s="109"/>
      <c r="EH835" s="111"/>
      <c r="EI835" s="109"/>
      <c r="EJ835" s="109"/>
      <c r="EK835" s="110"/>
      <c r="EL835" s="109"/>
      <c r="EM835" s="111"/>
      <c r="EN835" s="109"/>
      <c r="EO835" s="109"/>
      <c r="EP835" s="110"/>
      <c r="EQ835" s="109"/>
      <c r="ER835" s="111"/>
      <c r="ES835" s="109"/>
      <c r="ET835" s="109"/>
      <c r="EU835" s="110"/>
      <c r="EV835" s="109"/>
      <c r="EW835" s="111"/>
      <c r="EX835" s="109"/>
      <c r="EY835" s="109"/>
      <c r="EZ835" s="110"/>
      <c r="FA835" s="109"/>
      <c r="FB835" s="111"/>
      <c r="FC835" s="109"/>
      <c r="FD835" s="109"/>
      <c r="FE835" s="110"/>
      <c r="FF835" s="109"/>
      <c r="FG835" s="111"/>
      <c r="FH835" s="109"/>
      <c r="FI835" s="109"/>
      <c r="FJ835" s="110"/>
      <c r="FK835" s="109"/>
      <c r="FL835" s="111"/>
      <c r="FM835" s="109"/>
      <c r="FN835" s="109"/>
      <c r="FO835" s="110"/>
      <c r="FP835" s="109"/>
      <c r="FQ835" s="111"/>
      <c r="FR835" s="109"/>
      <c r="FS835" s="109"/>
      <c r="FT835" s="110"/>
      <c r="FU835" s="109"/>
      <c r="FV835" s="111"/>
      <c r="FW835" s="109"/>
      <c r="FX835" s="109"/>
      <c r="FY835" s="110"/>
      <c r="FZ835" s="109"/>
      <c r="GA835" s="111"/>
      <c r="GB835" s="109"/>
      <c r="GC835" s="109"/>
      <c r="GD835" s="110"/>
      <c r="GE835" s="109"/>
      <c r="GF835" s="111"/>
      <c r="GG835" s="109"/>
      <c r="GH835" s="109"/>
      <c r="GI835" s="110"/>
      <c r="GJ835" s="109"/>
      <c r="GK835" s="111"/>
      <c r="GL835" s="109"/>
      <c r="GM835" s="109"/>
      <c r="GN835" s="110"/>
      <c r="GO835" s="109"/>
      <c r="GP835" s="111"/>
      <c r="GQ835" s="109"/>
      <c r="GR835" s="109"/>
      <c r="GS835" s="110"/>
      <c r="GT835" s="109"/>
      <c r="GU835" s="111"/>
      <c r="GV835" s="109"/>
      <c r="GW835" s="109"/>
      <c r="GX835" s="110"/>
      <c r="GY835" s="109"/>
      <c r="GZ835" s="111"/>
      <c r="HA835" s="109"/>
      <c r="HB835" s="109"/>
      <c r="HC835" s="110"/>
      <c r="HD835" s="109"/>
      <c r="HE835" s="111"/>
      <c r="HF835" s="109"/>
      <c r="HG835" s="109"/>
      <c r="HH835" s="110"/>
      <c r="HI835" s="109"/>
      <c r="HJ835" s="111"/>
      <c r="HK835" s="109"/>
      <c r="HL835" s="109"/>
      <c r="HM835" s="110"/>
      <c r="HN835" s="109"/>
      <c r="HO835" s="111"/>
      <c r="HP835" s="109"/>
      <c r="HQ835" s="109"/>
      <c r="HR835" s="110"/>
      <c r="HS835" s="109"/>
      <c r="HT835" s="111"/>
      <c r="HU835" s="109"/>
      <c r="HV835" s="109"/>
      <c r="HW835" s="110"/>
      <c r="HX835" s="109"/>
      <c r="HY835" s="111"/>
      <c r="HZ835" s="109"/>
      <c r="IA835" s="109"/>
      <c r="IB835" s="110"/>
      <c r="IC835" s="109"/>
      <c r="ID835" s="111"/>
      <c r="IE835" s="109"/>
      <c r="IF835" s="109"/>
      <c r="IG835" s="110"/>
      <c r="IH835" s="109"/>
      <c r="II835" s="111"/>
      <c r="IJ835" s="109"/>
      <c r="IK835" s="109"/>
      <c r="IL835" s="110"/>
      <c r="IM835" s="109"/>
      <c r="IN835" s="111"/>
      <c r="IO835" s="109"/>
      <c r="IP835" s="109"/>
      <c r="IQ835" s="110"/>
      <c r="IR835" s="109"/>
      <c r="IS835" s="111"/>
      <c r="IT835" s="109"/>
      <c r="IU835" s="109"/>
      <c r="IV835" s="110"/>
    </row>
    <row r="836" spans="1:256" s="123" customFormat="1" ht="14.25">
      <c r="A836" s="134">
        <v>37069</v>
      </c>
      <c r="B836" s="111">
        <v>57.0829</v>
      </c>
      <c r="C836" s="111">
        <f t="shared" si="14"/>
        <v>0.057082900000000006</v>
      </c>
      <c r="D836" s="111">
        <v>32.2915</v>
      </c>
      <c r="E836" s="111">
        <v>37.5003</v>
      </c>
      <c r="F836" s="131"/>
      <c r="G836" s="109"/>
      <c r="H836" s="111"/>
      <c r="I836" s="109"/>
      <c r="J836" s="109"/>
      <c r="K836" s="110"/>
      <c r="L836" s="109"/>
      <c r="M836" s="111"/>
      <c r="N836" s="109"/>
      <c r="O836" s="109"/>
      <c r="P836" s="110"/>
      <c r="Q836" s="109"/>
      <c r="R836" s="111"/>
      <c r="S836" s="109"/>
      <c r="T836" s="109"/>
      <c r="U836" s="110"/>
      <c r="V836" s="109"/>
      <c r="W836" s="111"/>
      <c r="X836" s="109"/>
      <c r="Y836" s="109"/>
      <c r="Z836" s="110"/>
      <c r="AA836" s="109"/>
      <c r="AB836" s="111"/>
      <c r="AC836" s="109"/>
      <c r="AD836" s="109"/>
      <c r="AE836" s="110"/>
      <c r="AF836" s="109"/>
      <c r="AG836" s="111"/>
      <c r="AH836" s="109"/>
      <c r="AI836" s="109"/>
      <c r="AJ836" s="110"/>
      <c r="AK836" s="109"/>
      <c r="AL836" s="111"/>
      <c r="AM836" s="109"/>
      <c r="AN836" s="109"/>
      <c r="AO836" s="110"/>
      <c r="AP836" s="109"/>
      <c r="AQ836" s="111"/>
      <c r="AR836" s="109"/>
      <c r="AS836" s="109"/>
      <c r="AT836" s="110"/>
      <c r="AU836" s="109"/>
      <c r="AV836" s="111"/>
      <c r="AW836" s="109"/>
      <c r="AX836" s="109"/>
      <c r="AY836" s="110"/>
      <c r="AZ836" s="109"/>
      <c r="BA836" s="111"/>
      <c r="BB836" s="109"/>
      <c r="BC836" s="109"/>
      <c r="BD836" s="110"/>
      <c r="BE836" s="109"/>
      <c r="BF836" s="111"/>
      <c r="BG836" s="109"/>
      <c r="BH836" s="109"/>
      <c r="BI836" s="110"/>
      <c r="BJ836" s="109"/>
      <c r="BK836" s="111"/>
      <c r="BL836" s="109"/>
      <c r="BM836" s="109"/>
      <c r="BN836" s="110"/>
      <c r="BO836" s="109"/>
      <c r="BP836" s="111"/>
      <c r="BQ836" s="109"/>
      <c r="BR836" s="109"/>
      <c r="BS836" s="110"/>
      <c r="BT836" s="109"/>
      <c r="BU836" s="111"/>
      <c r="BV836" s="109"/>
      <c r="BW836" s="109"/>
      <c r="BX836" s="110"/>
      <c r="BY836" s="109"/>
      <c r="BZ836" s="111"/>
      <c r="CA836" s="109"/>
      <c r="CB836" s="109"/>
      <c r="CC836" s="110"/>
      <c r="CD836" s="109"/>
      <c r="CE836" s="111"/>
      <c r="CF836" s="109"/>
      <c r="CG836" s="109"/>
      <c r="CH836" s="110"/>
      <c r="CI836" s="109"/>
      <c r="CJ836" s="111"/>
      <c r="CK836" s="109"/>
      <c r="CL836" s="109"/>
      <c r="CM836" s="110"/>
      <c r="CN836" s="109"/>
      <c r="CO836" s="111"/>
      <c r="CP836" s="109"/>
      <c r="CQ836" s="109"/>
      <c r="CR836" s="110"/>
      <c r="CS836" s="109"/>
      <c r="CT836" s="111"/>
      <c r="CU836" s="109"/>
      <c r="CV836" s="109"/>
      <c r="CW836" s="110"/>
      <c r="CX836" s="109"/>
      <c r="CY836" s="111"/>
      <c r="CZ836" s="109"/>
      <c r="DA836" s="109"/>
      <c r="DB836" s="110"/>
      <c r="DC836" s="109"/>
      <c r="DD836" s="111"/>
      <c r="DE836" s="109"/>
      <c r="DF836" s="109"/>
      <c r="DG836" s="110"/>
      <c r="DH836" s="109"/>
      <c r="DI836" s="111"/>
      <c r="DJ836" s="109"/>
      <c r="DK836" s="109"/>
      <c r="DL836" s="110"/>
      <c r="DM836" s="109"/>
      <c r="DN836" s="111"/>
      <c r="DO836" s="109"/>
      <c r="DP836" s="109"/>
      <c r="DQ836" s="110"/>
      <c r="DR836" s="109"/>
      <c r="DS836" s="111"/>
      <c r="DT836" s="109"/>
      <c r="DU836" s="109"/>
      <c r="DV836" s="110"/>
      <c r="DW836" s="109"/>
      <c r="DX836" s="111"/>
      <c r="DY836" s="109"/>
      <c r="DZ836" s="109"/>
      <c r="EA836" s="110"/>
      <c r="EB836" s="109"/>
      <c r="EC836" s="111"/>
      <c r="ED836" s="109"/>
      <c r="EE836" s="109"/>
      <c r="EF836" s="110"/>
      <c r="EG836" s="109"/>
      <c r="EH836" s="111"/>
      <c r="EI836" s="109"/>
      <c r="EJ836" s="109"/>
      <c r="EK836" s="110"/>
      <c r="EL836" s="109"/>
      <c r="EM836" s="111"/>
      <c r="EN836" s="109"/>
      <c r="EO836" s="109"/>
      <c r="EP836" s="110"/>
      <c r="EQ836" s="109"/>
      <c r="ER836" s="111"/>
      <c r="ES836" s="109"/>
      <c r="ET836" s="109"/>
      <c r="EU836" s="110"/>
      <c r="EV836" s="109"/>
      <c r="EW836" s="111"/>
      <c r="EX836" s="109"/>
      <c r="EY836" s="109"/>
      <c r="EZ836" s="110"/>
      <c r="FA836" s="109"/>
      <c r="FB836" s="111"/>
      <c r="FC836" s="109"/>
      <c r="FD836" s="109"/>
      <c r="FE836" s="110"/>
      <c r="FF836" s="109"/>
      <c r="FG836" s="111"/>
      <c r="FH836" s="109"/>
      <c r="FI836" s="109"/>
      <c r="FJ836" s="110"/>
      <c r="FK836" s="109"/>
      <c r="FL836" s="111"/>
      <c r="FM836" s="109"/>
      <c r="FN836" s="109"/>
      <c r="FO836" s="110"/>
      <c r="FP836" s="109"/>
      <c r="FQ836" s="111"/>
      <c r="FR836" s="109"/>
      <c r="FS836" s="109"/>
      <c r="FT836" s="110"/>
      <c r="FU836" s="109"/>
      <c r="FV836" s="111"/>
      <c r="FW836" s="109"/>
      <c r="FX836" s="109"/>
      <c r="FY836" s="110"/>
      <c r="FZ836" s="109"/>
      <c r="GA836" s="111"/>
      <c r="GB836" s="109"/>
      <c r="GC836" s="109"/>
      <c r="GD836" s="110"/>
      <c r="GE836" s="109"/>
      <c r="GF836" s="111"/>
      <c r="GG836" s="109"/>
      <c r="GH836" s="109"/>
      <c r="GI836" s="110"/>
      <c r="GJ836" s="109"/>
      <c r="GK836" s="111"/>
      <c r="GL836" s="109"/>
      <c r="GM836" s="109"/>
      <c r="GN836" s="110"/>
      <c r="GO836" s="109"/>
      <c r="GP836" s="111"/>
      <c r="GQ836" s="109"/>
      <c r="GR836" s="109"/>
      <c r="GS836" s="110"/>
      <c r="GT836" s="109"/>
      <c r="GU836" s="111"/>
      <c r="GV836" s="109"/>
      <c r="GW836" s="109"/>
      <c r="GX836" s="110"/>
      <c r="GY836" s="109"/>
      <c r="GZ836" s="111"/>
      <c r="HA836" s="109"/>
      <c r="HB836" s="109"/>
      <c r="HC836" s="110"/>
      <c r="HD836" s="109"/>
      <c r="HE836" s="111"/>
      <c r="HF836" s="109"/>
      <c r="HG836" s="109"/>
      <c r="HH836" s="110"/>
      <c r="HI836" s="109"/>
      <c r="HJ836" s="111"/>
      <c r="HK836" s="109"/>
      <c r="HL836" s="109"/>
      <c r="HM836" s="110"/>
      <c r="HN836" s="109"/>
      <c r="HO836" s="111"/>
      <c r="HP836" s="109"/>
      <c r="HQ836" s="109"/>
      <c r="HR836" s="110"/>
      <c r="HS836" s="109"/>
      <c r="HT836" s="111"/>
      <c r="HU836" s="109"/>
      <c r="HV836" s="109"/>
      <c r="HW836" s="110"/>
      <c r="HX836" s="109"/>
      <c r="HY836" s="111"/>
      <c r="HZ836" s="109"/>
      <c r="IA836" s="109"/>
      <c r="IB836" s="110"/>
      <c r="IC836" s="109"/>
      <c r="ID836" s="111"/>
      <c r="IE836" s="109"/>
      <c r="IF836" s="109"/>
      <c r="IG836" s="110"/>
      <c r="IH836" s="109"/>
      <c r="II836" s="111"/>
      <c r="IJ836" s="109"/>
      <c r="IK836" s="109"/>
      <c r="IL836" s="110"/>
      <c r="IM836" s="109"/>
      <c r="IN836" s="111"/>
      <c r="IO836" s="109"/>
      <c r="IP836" s="109"/>
      <c r="IQ836" s="110"/>
      <c r="IR836" s="109"/>
      <c r="IS836" s="111"/>
      <c r="IT836" s="109"/>
      <c r="IU836" s="109"/>
      <c r="IV836" s="110"/>
    </row>
    <row r="837" spans="1:256" s="123" customFormat="1" ht="14.25">
      <c r="A837" s="134">
        <v>37070</v>
      </c>
      <c r="B837" s="111">
        <v>57.3505</v>
      </c>
      <c r="C837" s="111">
        <f t="shared" si="14"/>
        <v>0.0573505</v>
      </c>
      <c r="D837" s="111">
        <v>32.4822</v>
      </c>
      <c r="E837" s="111">
        <v>37.6736</v>
      </c>
      <c r="F837" s="131"/>
      <c r="G837" s="109"/>
      <c r="H837" s="111"/>
      <c r="I837" s="109"/>
      <c r="J837" s="109"/>
      <c r="K837" s="110"/>
      <c r="L837" s="109"/>
      <c r="M837" s="111"/>
      <c r="N837" s="109"/>
      <c r="O837" s="109"/>
      <c r="P837" s="110"/>
      <c r="Q837" s="109"/>
      <c r="R837" s="111"/>
      <c r="S837" s="109"/>
      <c r="T837" s="109"/>
      <c r="U837" s="110"/>
      <c r="V837" s="109"/>
      <c r="W837" s="111"/>
      <c r="X837" s="109"/>
      <c r="Y837" s="109"/>
      <c r="Z837" s="110"/>
      <c r="AA837" s="109"/>
      <c r="AB837" s="111"/>
      <c r="AC837" s="109"/>
      <c r="AD837" s="109"/>
      <c r="AE837" s="110"/>
      <c r="AF837" s="109"/>
      <c r="AG837" s="111"/>
      <c r="AH837" s="109"/>
      <c r="AI837" s="109"/>
      <c r="AJ837" s="110"/>
      <c r="AK837" s="109"/>
      <c r="AL837" s="111"/>
      <c r="AM837" s="109"/>
      <c r="AN837" s="109"/>
      <c r="AO837" s="110"/>
      <c r="AP837" s="109"/>
      <c r="AQ837" s="111"/>
      <c r="AR837" s="109"/>
      <c r="AS837" s="109"/>
      <c r="AT837" s="110"/>
      <c r="AU837" s="109"/>
      <c r="AV837" s="111"/>
      <c r="AW837" s="109"/>
      <c r="AX837" s="109"/>
      <c r="AY837" s="110"/>
      <c r="AZ837" s="109"/>
      <c r="BA837" s="111"/>
      <c r="BB837" s="109"/>
      <c r="BC837" s="109"/>
      <c r="BD837" s="110"/>
      <c r="BE837" s="109"/>
      <c r="BF837" s="111"/>
      <c r="BG837" s="109"/>
      <c r="BH837" s="109"/>
      <c r="BI837" s="110"/>
      <c r="BJ837" s="109"/>
      <c r="BK837" s="111"/>
      <c r="BL837" s="109"/>
      <c r="BM837" s="109"/>
      <c r="BN837" s="110"/>
      <c r="BO837" s="109"/>
      <c r="BP837" s="111"/>
      <c r="BQ837" s="109"/>
      <c r="BR837" s="109"/>
      <c r="BS837" s="110"/>
      <c r="BT837" s="109"/>
      <c r="BU837" s="111"/>
      <c r="BV837" s="109"/>
      <c r="BW837" s="109"/>
      <c r="BX837" s="110"/>
      <c r="BY837" s="109"/>
      <c r="BZ837" s="111"/>
      <c r="CA837" s="109"/>
      <c r="CB837" s="109"/>
      <c r="CC837" s="110"/>
      <c r="CD837" s="109"/>
      <c r="CE837" s="111"/>
      <c r="CF837" s="109"/>
      <c r="CG837" s="109"/>
      <c r="CH837" s="110"/>
      <c r="CI837" s="109"/>
      <c r="CJ837" s="111"/>
      <c r="CK837" s="109"/>
      <c r="CL837" s="109"/>
      <c r="CM837" s="110"/>
      <c r="CN837" s="109"/>
      <c r="CO837" s="111"/>
      <c r="CP837" s="109"/>
      <c r="CQ837" s="109"/>
      <c r="CR837" s="110"/>
      <c r="CS837" s="109"/>
      <c r="CT837" s="111"/>
      <c r="CU837" s="109"/>
      <c r="CV837" s="109"/>
      <c r="CW837" s="110"/>
      <c r="CX837" s="109"/>
      <c r="CY837" s="111"/>
      <c r="CZ837" s="109"/>
      <c r="DA837" s="109"/>
      <c r="DB837" s="110"/>
      <c r="DC837" s="109"/>
      <c r="DD837" s="111"/>
      <c r="DE837" s="109"/>
      <c r="DF837" s="109"/>
      <c r="DG837" s="110"/>
      <c r="DH837" s="109"/>
      <c r="DI837" s="111"/>
      <c r="DJ837" s="109"/>
      <c r="DK837" s="109"/>
      <c r="DL837" s="110"/>
      <c r="DM837" s="109"/>
      <c r="DN837" s="111"/>
      <c r="DO837" s="109"/>
      <c r="DP837" s="109"/>
      <c r="DQ837" s="110"/>
      <c r="DR837" s="109"/>
      <c r="DS837" s="111"/>
      <c r="DT837" s="109"/>
      <c r="DU837" s="109"/>
      <c r="DV837" s="110"/>
      <c r="DW837" s="109"/>
      <c r="DX837" s="111"/>
      <c r="DY837" s="109"/>
      <c r="DZ837" s="109"/>
      <c r="EA837" s="110"/>
      <c r="EB837" s="109"/>
      <c r="EC837" s="111"/>
      <c r="ED837" s="109"/>
      <c r="EE837" s="109"/>
      <c r="EF837" s="110"/>
      <c r="EG837" s="109"/>
      <c r="EH837" s="111"/>
      <c r="EI837" s="109"/>
      <c r="EJ837" s="109"/>
      <c r="EK837" s="110"/>
      <c r="EL837" s="109"/>
      <c r="EM837" s="111"/>
      <c r="EN837" s="109"/>
      <c r="EO837" s="109"/>
      <c r="EP837" s="110"/>
      <c r="EQ837" s="109"/>
      <c r="ER837" s="111"/>
      <c r="ES837" s="109"/>
      <c r="ET837" s="109"/>
      <c r="EU837" s="110"/>
      <c r="EV837" s="109"/>
      <c r="EW837" s="111"/>
      <c r="EX837" s="109"/>
      <c r="EY837" s="109"/>
      <c r="EZ837" s="110"/>
      <c r="FA837" s="109"/>
      <c r="FB837" s="111"/>
      <c r="FC837" s="109"/>
      <c r="FD837" s="109"/>
      <c r="FE837" s="110"/>
      <c r="FF837" s="109"/>
      <c r="FG837" s="111"/>
      <c r="FH837" s="109"/>
      <c r="FI837" s="109"/>
      <c r="FJ837" s="110"/>
      <c r="FK837" s="109"/>
      <c r="FL837" s="111"/>
      <c r="FM837" s="109"/>
      <c r="FN837" s="109"/>
      <c r="FO837" s="110"/>
      <c r="FP837" s="109"/>
      <c r="FQ837" s="111"/>
      <c r="FR837" s="109"/>
      <c r="FS837" s="109"/>
      <c r="FT837" s="110"/>
      <c r="FU837" s="109"/>
      <c r="FV837" s="111"/>
      <c r="FW837" s="109"/>
      <c r="FX837" s="109"/>
      <c r="FY837" s="110"/>
      <c r="FZ837" s="109"/>
      <c r="GA837" s="111"/>
      <c r="GB837" s="109"/>
      <c r="GC837" s="109"/>
      <c r="GD837" s="110"/>
      <c r="GE837" s="109"/>
      <c r="GF837" s="111"/>
      <c r="GG837" s="109"/>
      <c r="GH837" s="109"/>
      <c r="GI837" s="110"/>
      <c r="GJ837" s="109"/>
      <c r="GK837" s="111"/>
      <c r="GL837" s="109"/>
      <c r="GM837" s="109"/>
      <c r="GN837" s="110"/>
      <c r="GO837" s="109"/>
      <c r="GP837" s="111"/>
      <c r="GQ837" s="109"/>
      <c r="GR837" s="109"/>
      <c r="GS837" s="110"/>
      <c r="GT837" s="109"/>
      <c r="GU837" s="111"/>
      <c r="GV837" s="109"/>
      <c r="GW837" s="109"/>
      <c r="GX837" s="110"/>
      <c r="GY837" s="109"/>
      <c r="GZ837" s="111"/>
      <c r="HA837" s="109"/>
      <c r="HB837" s="109"/>
      <c r="HC837" s="110"/>
      <c r="HD837" s="109"/>
      <c r="HE837" s="111"/>
      <c r="HF837" s="109"/>
      <c r="HG837" s="109"/>
      <c r="HH837" s="110"/>
      <c r="HI837" s="109"/>
      <c r="HJ837" s="111"/>
      <c r="HK837" s="109"/>
      <c r="HL837" s="109"/>
      <c r="HM837" s="110"/>
      <c r="HN837" s="109"/>
      <c r="HO837" s="111"/>
      <c r="HP837" s="109"/>
      <c r="HQ837" s="109"/>
      <c r="HR837" s="110"/>
      <c r="HS837" s="109"/>
      <c r="HT837" s="111"/>
      <c r="HU837" s="109"/>
      <c r="HV837" s="109"/>
      <c r="HW837" s="110"/>
      <c r="HX837" s="109"/>
      <c r="HY837" s="111"/>
      <c r="HZ837" s="109"/>
      <c r="IA837" s="109"/>
      <c r="IB837" s="110"/>
      <c r="IC837" s="109"/>
      <c r="ID837" s="111"/>
      <c r="IE837" s="109"/>
      <c r="IF837" s="109"/>
      <c r="IG837" s="110"/>
      <c r="IH837" s="109"/>
      <c r="II837" s="111"/>
      <c r="IJ837" s="109"/>
      <c r="IK837" s="109"/>
      <c r="IL837" s="110"/>
      <c r="IM837" s="109"/>
      <c r="IN837" s="111"/>
      <c r="IO837" s="109"/>
      <c r="IP837" s="109"/>
      <c r="IQ837" s="110"/>
      <c r="IR837" s="109"/>
      <c r="IS837" s="111"/>
      <c r="IT837" s="109"/>
      <c r="IU837" s="109"/>
      <c r="IV837" s="110"/>
    </row>
    <row r="838" spans="1:256" s="123" customFormat="1" ht="14.25">
      <c r="A838" s="134">
        <v>37071</v>
      </c>
      <c r="B838" s="111">
        <v>57.7823</v>
      </c>
      <c r="C838" s="111">
        <f t="shared" si="14"/>
        <v>0.0577823</v>
      </c>
      <c r="D838" s="111">
        <v>32.3692</v>
      </c>
      <c r="E838" s="111">
        <v>38.0322</v>
      </c>
      <c r="F838" s="131"/>
      <c r="G838" s="109"/>
      <c r="H838" s="111"/>
      <c r="I838" s="109"/>
      <c r="J838" s="109"/>
      <c r="K838" s="110"/>
      <c r="L838" s="109"/>
      <c r="M838" s="111"/>
      <c r="N838" s="109"/>
      <c r="O838" s="109"/>
      <c r="P838" s="110"/>
      <c r="Q838" s="109"/>
      <c r="R838" s="111"/>
      <c r="S838" s="109"/>
      <c r="T838" s="109"/>
      <c r="U838" s="110"/>
      <c r="V838" s="109"/>
      <c r="W838" s="111"/>
      <c r="X838" s="109"/>
      <c r="Y838" s="109"/>
      <c r="Z838" s="110"/>
      <c r="AA838" s="109"/>
      <c r="AB838" s="111"/>
      <c r="AC838" s="109"/>
      <c r="AD838" s="109"/>
      <c r="AE838" s="110"/>
      <c r="AF838" s="109"/>
      <c r="AG838" s="111"/>
      <c r="AH838" s="109"/>
      <c r="AI838" s="109"/>
      <c r="AJ838" s="110"/>
      <c r="AK838" s="109"/>
      <c r="AL838" s="111"/>
      <c r="AM838" s="109"/>
      <c r="AN838" s="109"/>
      <c r="AO838" s="110"/>
      <c r="AP838" s="109"/>
      <c r="AQ838" s="111"/>
      <c r="AR838" s="109"/>
      <c r="AS838" s="109"/>
      <c r="AT838" s="110"/>
      <c r="AU838" s="109"/>
      <c r="AV838" s="111"/>
      <c r="AW838" s="109"/>
      <c r="AX838" s="109"/>
      <c r="AY838" s="110"/>
      <c r="AZ838" s="109"/>
      <c r="BA838" s="111"/>
      <c r="BB838" s="109"/>
      <c r="BC838" s="109"/>
      <c r="BD838" s="110"/>
      <c r="BE838" s="109"/>
      <c r="BF838" s="111"/>
      <c r="BG838" s="109"/>
      <c r="BH838" s="109"/>
      <c r="BI838" s="110"/>
      <c r="BJ838" s="109"/>
      <c r="BK838" s="111"/>
      <c r="BL838" s="109"/>
      <c r="BM838" s="109"/>
      <c r="BN838" s="110"/>
      <c r="BO838" s="109"/>
      <c r="BP838" s="111"/>
      <c r="BQ838" s="109"/>
      <c r="BR838" s="109"/>
      <c r="BS838" s="110"/>
      <c r="BT838" s="109"/>
      <c r="BU838" s="111"/>
      <c r="BV838" s="109"/>
      <c r="BW838" s="109"/>
      <c r="BX838" s="110"/>
      <c r="BY838" s="109"/>
      <c r="BZ838" s="111"/>
      <c r="CA838" s="109"/>
      <c r="CB838" s="109"/>
      <c r="CC838" s="110"/>
      <c r="CD838" s="109"/>
      <c r="CE838" s="111"/>
      <c r="CF838" s="109"/>
      <c r="CG838" s="109"/>
      <c r="CH838" s="110"/>
      <c r="CI838" s="109"/>
      <c r="CJ838" s="111"/>
      <c r="CK838" s="109"/>
      <c r="CL838" s="109"/>
      <c r="CM838" s="110"/>
      <c r="CN838" s="109"/>
      <c r="CO838" s="111"/>
      <c r="CP838" s="109"/>
      <c r="CQ838" s="109"/>
      <c r="CR838" s="110"/>
      <c r="CS838" s="109"/>
      <c r="CT838" s="111"/>
      <c r="CU838" s="109"/>
      <c r="CV838" s="109"/>
      <c r="CW838" s="110"/>
      <c r="CX838" s="109"/>
      <c r="CY838" s="111"/>
      <c r="CZ838" s="109"/>
      <c r="DA838" s="109"/>
      <c r="DB838" s="110"/>
      <c r="DC838" s="109"/>
      <c r="DD838" s="111"/>
      <c r="DE838" s="109"/>
      <c r="DF838" s="109"/>
      <c r="DG838" s="110"/>
      <c r="DH838" s="109"/>
      <c r="DI838" s="111"/>
      <c r="DJ838" s="109"/>
      <c r="DK838" s="109"/>
      <c r="DL838" s="110"/>
      <c r="DM838" s="109"/>
      <c r="DN838" s="111"/>
      <c r="DO838" s="109"/>
      <c r="DP838" s="109"/>
      <c r="DQ838" s="110"/>
      <c r="DR838" s="109"/>
      <c r="DS838" s="111"/>
      <c r="DT838" s="109"/>
      <c r="DU838" s="109"/>
      <c r="DV838" s="110"/>
      <c r="DW838" s="109"/>
      <c r="DX838" s="111"/>
      <c r="DY838" s="109"/>
      <c r="DZ838" s="109"/>
      <c r="EA838" s="110"/>
      <c r="EB838" s="109"/>
      <c r="EC838" s="111"/>
      <c r="ED838" s="109"/>
      <c r="EE838" s="109"/>
      <c r="EF838" s="110"/>
      <c r="EG838" s="109"/>
      <c r="EH838" s="111"/>
      <c r="EI838" s="109"/>
      <c r="EJ838" s="109"/>
      <c r="EK838" s="110"/>
      <c r="EL838" s="109"/>
      <c r="EM838" s="111"/>
      <c r="EN838" s="109"/>
      <c r="EO838" s="109"/>
      <c r="EP838" s="110"/>
      <c r="EQ838" s="109"/>
      <c r="ER838" s="111"/>
      <c r="ES838" s="109"/>
      <c r="ET838" s="109"/>
      <c r="EU838" s="110"/>
      <c r="EV838" s="109"/>
      <c r="EW838" s="111"/>
      <c r="EX838" s="109"/>
      <c r="EY838" s="109"/>
      <c r="EZ838" s="110"/>
      <c r="FA838" s="109"/>
      <c r="FB838" s="111"/>
      <c r="FC838" s="109"/>
      <c r="FD838" s="109"/>
      <c r="FE838" s="110"/>
      <c r="FF838" s="109"/>
      <c r="FG838" s="111"/>
      <c r="FH838" s="109"/>
      <c r="FI838" s="109"/>
      <c r="FJ838" s="110"/>
      <c r="FK838" s="109"/>
      <c r="FL838" s="111"/>
      <c r="FM838" s="109"/>
      <c r="FN838" s="109"/>
      <c r="FO838" s="110"/>
      <c r="FP838" s="109"/>
      <c r="FQ838" s="111"/>
      <c r="FR838" s="109"/>
      <c r="FS838" s="109"/>
      <c r="FT838" s="110"/>
      <c r="FU838" s="109"/>
      <c r="FV838" s="111"/>
      <c r="FW838" s="109"/>
      <c r="FX838" s="109"/>
      <c r="FY838" s="110"/>
      <c r="FZ838" s="109"/>
      <c r="GA838" s="111"/>
      <c r="GB838" s="109"/>
      <c r="GC838" s="109"/>
      <c r="GD838" s="110"/>
      <c r="GE838" s="109"/>
      <c r="GF838" s="111"/>
      <c r="GG838" s="109"/>
      <c r="GH838" s="109"/>
      <c r="GI838" s="110"/>
      <c r="GJ838" s="109"/>
      <c r="GK838" s="111"/>
      <c r="GL838" s="109"/>
      <c r="GM838" s="109"/>
      <c r="GN838" s="110"/>
      <c r="GO838" s="109"/>
      <c r="GP838" s="111"/>
      <c r="GQ838" s="109"/>
      <c r="GR838" s="109"/>
      <c r="GS838" s="110"/>
      <c r="GT838" s="109"/>
      <c r="GU838" s="111"/>
      <c r="GV838" s="109"/>
      <c r="GW838" s="109"/>
      <c r="GX838" s="110"/>
      <c r="GY838" s="109"/>
      <c r="GZ838" s="111"/>
      <c r="HA838" s="109"/>
      <c r="HB838" s="109"/>
      <c r="HC838" s="110"/>
      <c r="HD838" s="109"/>
      <c r="HE838" s="111"/>
      <c r="HF838" s="109"/>
      <c r="HG838" s="109"/>
      <c r="HH838" s="110"/>
      <c r="HI838" s="109"/>
      <c r="HJ838" s="111"/>
      <c r="HK838" s="109"/>
      <c r="HL838" s="109"/>
      <c r="HM838" s="110"/>
      <c r="HN838" s="109"/>
      <c r="HO838" s="111"/>
      <c r="HP838" s="109"/>
      <c r="HQ838" s="109"/>
      <c r="HR838" s="110"/>
      <c r="HS838" s="109"/>
      <c r="HT838" s="111"/>
      <c r="HU838" s="109"/>
      <c r="HV838" s="109"/>
      <c r="HW838" s="110"/>
      <c r="HX838" s="109"/>
      <c r="HY838" s="111"/>
      <c r="HZ838" s="109"/>
      <c r="IA838" s="109"/>
      <c r="IB838" s="110"/>
      <c r="IC838" s="109"/>
      <c r="ID838" s="111"/>
      <c r="IE838" s="109"/>
      <c r="IF838" s="109"/>
      <c r="IG838" s="110"/>
      <c r="IH838" s="109"/>
      <c r="II838" s="111"/>
      <c r="IJ838" s="109"/>
      <c r="IK838" s="109"/>
      <c r="IL838" s="110"/>
      <c r="IM838" s="109"/>
      <c r="IN838" s="111"/>
      <c r="IO838" s="109"/>
      <c r="IP838" s="109"/>
      <c r="IQ838" s="110"/>
      <c r="IR838" s="109"/>
      <c r="IS838" s="111"/>
      <c r="IT838" s="109"/>
      <c r="IU838" s="109"/>
      <c r="IV838" s="110"/>
    </row>
    <row r="839" spans="1:256" s="123" customFormat="1" ht="14.25">
      <c r="A839" s="134">
        <v>37074</v>
      </c>
      <c r="B839" s="111">
        <v>55.4802</v>
      </c>
      <c r="C839" s="111">
        <f t="shared" si="14"/>
        <v>0.05548020000000001</v>
      </c>
      <c r="D839" s="111">
        <v>30.8952</v>
      </c>
      <c r="E839" s="111">
        <v>36.433</v>
      </c>
      <c r="F839" s="131"/>
      <c r="G839" s="109"/>
      <c r="H839" s="111"/>
      <c r="I839" s="109"/>
      <c r="J839" s="109"/>
      <c r="K839" s="110"/>
      <c r="L839" s="109"/>
      <c r="M839" s="111"/>
      <c r="N839" s="109"/>
      <c r="O839" s="109"/>
      <c r="P839" s="110"/>
      <c r="Q839" s="109"/>
      <c r="R839" s="111"/>
      <c r="S839" s="109"/>
      <c r="T839" s="109"/>
      <c r="U839" s="110"/>
      <c r="V839" s="109"/>
      <c r="W839" s="111"/>
      <c r="X839" s="109"/>
      <c r="Y839" s="109"/>
      <c r="Z839" s="110"/>
      <c r="AA839" s="109"/>
      <c r="AB839" s="111"/>
      <c r="AC839" s="109"/>
      <c r="AD839" s="109"/>
      <c r="AE839" s="110"/>
      <c r="AF839" s="109"/>
      <c r="AG839" s="111"/>
      <c r="AH839" s="109"/>
      <c r="AI839" s="109"/>
      <c r="AJ839" s="110"/>
      <c r="AK839" s="109"/>
      <c r="AL839" s="111"/>
      <c r="AM839" s="109"/>
      <c r="AN839" s="109"/>
      <c r="AO839" s="110"/>
      <c r="AP839" s="109"/>
      <c r="AQ839" s="111"/>
      <c r="AR839" s="109"/>
      <c r="AS839" s="109"/>
      <c r="AT839" s="110"/>
      <c r="AU839" s="109"/>
      <c r="AV839" s="111"/>
      <c r="AW839" s="109"/>
      <c r="AX839" s="109"/>
      <c r="AY839" s="110"/>
      <c r="AZ839" s="109"/>
      <c r="BA839" s="111"/>
      <c r="BB839" s="109"/>
      <c r="BC839" s="109"/>
      <c r="BD839" s="110"/>
      <c r="BE839" s="109"/>
      <c r="BF839" s="111"/>
      <c r="BG839" s="109"/>
      <c r="BH839" s="109"/>
      <c r="BI839" s="110"/>
      <c r="BJ839" s="109"/>
      <c r="BK839" s="111"/>
      <c r="BL839" s="109"/>
      <c r="BM839" s="109"/>
      <c r="BN839" s="110"/>
      <c r="BO839" s="109"/>
      <c r="BP839" s="111"/>
      <c r="BQ839" s="109"/>
      <c r="BR839" s="109"/>
      <c r="BS839" s="110"/>
      <c r="BT839" s="109"/>
      <c r="BU839" s="111"/>
      <c r="BV839" s="109"/>
      <c r="BW839" s="109"/>
      <c r="BX839" s="110"/>
      <c r="BY839" s="109"/>
      <c r="BZ839" s="111"/>
      <c r="CA839" s="109"/>
      <c r="CB839" s="109"/>
      <c r="CC839" s="110"/>
      <c r="CD839" s="109"/>
      <c r="CE839" s="111"/>
      <c r="CF839" s="109"/>
      <c r="CG839" s="109"/>
      <c r="CH839" s="110"/>
      <c r="CI839" s="109"/>
      <c r="CJ839" s="111"/>
      <c r="CK839" s="109"/>
      <c r="CL839" s="109"/>
      <c r="CM839" s="110"/>
      <c r="CN839" s="109"/>
      <c r="CO839" s="111"/>
      <c r="CP839" s="109"/>
      <c r="CQ839" s="109"/>
      <c r="CR839" s="110"/>
      <c r="CS839" s="109"/>
      <c r="CT839" s="111"/>
      <c r="CU839" s="109"/>
      <c r="CV839" s="109"/>
      <c r="CW839" s="110"/>
      <c r="CX839" s="109"/>
      <c r="CY839" s="111"/>
      <c r="CZ839" s="109"/>
      <c r="DA839" s="109"/>
      <c r="DB839" s="110"/>
      <c r="DC839" s="109"/>
      <c r="DD839" s="111"/>
      <c r="DE839" s="109"/>
      <c r="DF839" s="109"/>
      <c r="DG839" s="110"/>
      <c r="DH839" s="109"/>
      <c r="DI839" s="111"/>
      <c r="DJ839" s="109"/>
      <c r="DK839" s="109"/>
      <c r="DL839" s="110"/>
      <c r="DM839" s="109"/>
      <c r="DN839" s="111"/>
      <c r="DO839" s="109"/>
      <c r="DP839" s="109"/>
      <c r="DQ839" s="110"/>
      <c r="DR839" s="109"/>
      <c r="DS839" s="111"/>
      <c r="DT839" s="109"/>
      <c r="DU839" s="109"/>
      <c r="DV839" s="110"/>
      <c r="DW839" s="109"/>
      <c r="DX839" s="111"/>
      <c r="DY839" s="109"/>
      <c r="DZ839" s="109"/>
      <c r="EA839" s="110"/>
      <c r="EB839" s="109"/>
      <c r="EC839" s="111"/>
      <c r="ED839" s="109"/>
      <c r="EE839" s="109"/>
      <c r="EF839" s="110"/>
      <c r="EG839" s="109"/>
      <c r="EH839" s="111"/>
      <c r="EI839" s="109"/>
      <c r="EJ839" s="109"/>
      <c r="EK839" s="110"/>
      <c r="EL839" s="109"/>
      <c r="EM839" s="111"/>
      <c r="EN839" s="109"/>
      <c r="EO839" s="109"/>
      <c r="EP839" s="110"/>
      <c r="EQ839" s="109"/>
      <c r="ER839" s="111"/>
      <c r="ES839" s="109"/>
      <c r="ET839" s="109"/>
      <c r="EU839" s="110"/>
      <c r="EV839" s="109"/>
      <c r="EW839" s="111"/>
      <c r="EX839" s="109"/>
      <c r="EY839" s="109"/>
      <c r="EZ839" s="110"/>
      <c r="FA839" s="109"/>
      <c r="FB839" s="111"/>
      <c r="FC839" s="109"/>
      <c r="FD839" s="109"/>
      <c r="FE839" s="110"/>
      <c r="FF839" s="109"/>
      <c r="FG839" s="111"/>
      <c r="FH839" s="109"/>
      <c r="FI839" s="109"/>
      <c r="FJ839" s="110"/>
      <c r="FK839" s="109"/>
      <c r="FL839" s="111"/>
      <c r="FM839" s="109"/>
      <c r="FN839" s="109"/>
      <c r="FO839" s="110"/>
      <c r="FP839" s="109"/>
      <c r="FQ839" s="111"/>
      <c r="FR839" s="109"/>
      <c r="FS839" s="109"/>
      <c r="FT839" s="110"/>
      <c r="FU839" s="109"/>
      <c r="FV839" s="111"/>
      <c r="FW839" s="109"/>
      <c r="FX839" s="109"/>
      <c r="FY839" s="110"/>
      <c r="FZ839" s="109"/>
      <c r="GA839" s="111"/>
      <c r="GB839" s="109"/>
      <c r="GC839" s="109"/>
      <c r="GD839" s="110"/>
      <c r="GE839" s="109"/>
      <c r="GF839" s="111"/>
      <c r="GG839" s="109"/>
      <c r="GH839" s="109"/>
      <c r="GI839" s="110"/>
      <c r="GJ839" s="109"/>
      <c r="GK839" s="111"/>
      <c r="GL839" s="109"/>
      <c r="GM839" s="109"/>
      <c r="GN839" s="110"/>
      <c r="GO839" s="109"/>
      <c r="GP839" s="111"/>
      <c r="GQ839" s="109"/>
      <c r="GR839" s="109"/>
      <c r="GS839" s="110"/>
      <c r="GT839" s="109"/>
      <c r="GU839" s="111"/>
      <c r="GV839" s="109"/>
      <c r="GW839" s="109"/>
      <c r="GX839" s="110"/>
      <c r="GY839" s="109"/>
      <c r="GZ839" s="111"/>
      <c r="HA839" s="109"/>
      <c r="HB839" s="109"/>
      <c r="HC839" s="110"/>
      <c r="HD839" s="109"/>
      <c r="HE839" s="111"/>
      <c r="HF839" s="109"/>
      <c r="HG839" s="109"/>
      <c r="HH839" s="110"/>
      <c r="HI839" s="109"/>
      <c r="HJ839" s="111"/>
      <c r="HK839" s="109"/>
      <c r="HL839" s="109"/>
      <c r="HM839" s="110"/>
      <c r="HN839" s="109"/>
      <c r="HO839" s="111"/>
      <c r="HP839" s="109"/>
      <c r="HQ839" s="109"/>
      <c r="HR839" s="110"/>
      <c r="HS839" s="109"/>
      <c r="HT839" s="111"/>
      <c r="HU839" s="109"/>
      <c r="HV839" s="109"/>
      <c r="HW839" s="110"/>
      <c r="HX839" s="109"/>
      <c r="HY839" s="111"/>
      <c r="HZ839" s="109"/>
      <c r="IA839" s="109"/>
      <c r="IB839" s="110"/>
      <c r="IC839" s="109"/>
      <c r="ID839" s="111"/>
      <c r="IE839" s="109"/>
      <c r="IF839" s="109"/>
      <c r="IG839" s="110"/>
      <c r="IH839" s="109"/>
      <c r="II839" s="111"/>
      <c r="IJ839" s="109"/>
      <c r="IK839" s="109"/>
      <c r="IL839" s="110"/>
      <c r="IM839" s="109"/>
      <c r="IN839" s="111"/>
      <c r="IO839" s="109"/>
      <c r="IP839" s="109"/>
      <c r="IQ839" s="110"/>
      <c r="IR839" s="109"/>
      <c r="IS839" s="111"/>
      <c r="IT839" s="109"/>
      <c r="IU839" s="109"/>
      <c r="IV839" s="110"/>
    </row>
    <row r="840" spans="1:256" s="123" customFormat="1" ht="14.25">
      <c r="A840" s="134">
        <v>37075</v>
      </c>
      <c r="B840" s="111">
        <v>58.1769</v>
      </c>
      <c r="C840" s="111">
        <f t="shared" si="14"/>
        <v>0.058176900000000004</v>
      </c>
      <c r="D840" s="111">
        <v>32.3418</v>
      </c>
      <c r="E840" s="111">
        <v>38.2517</v>
      </c>
      <c r="F840" s="131"/>
      <c r="G840" s="109"/>
      <c r="H840" s="111"/>
      <c r="I840" s="109"/>
      <c r="J840" s="109"/>
      <c r="K840" s="110"/>
      <c r="L840" s="109"/>
      <c r="M840" s="111"/>
      <c r="N840" s="109"/>
      <c r="O840" s="109"/>
      <c r="P840" s="110"/>
      <c r="Q840" s="109"/>
      <c r="R840" s="111"/>
      <c r="S840" s="109"/>
      <c r="T840" s="109"/>
      <c r="U840" s="110"/>
      <c r="V840" s="109"/>
      <c r="W840" s="111"/>
      <c r="X840" s="109"/>
      <c r="Y840" s="109"/>
      <c r="Z840" s="110"/>
      <c r="AA840" s="109"/>
      <c r="AB840" s="111"/>
      <c r="AC840" s="109"/>
      <c r="AD840" s="109"/>
      <c r="AE840" s="110"/>
      <c r="AF840" s="109"/>
      <c r="AG840" s="111"/>
      <c r="AH840" s="109"/>
      <c r="AI840" s="109"/>
      <c r="AJ840" s="110"/>
      <c r="AK840" s="109"/>
      <c r="AL840" s="111"/>
      <c r="AM840" s="109"/>
      <c r="AN840" s="109"/>
      <c r="AO840" s="110"/>
      <c r="AP840" s="109"/>
      <c r="AQ840" s="111"/>
      <c r="AR840" s="109"/>
      <c r="AS840" s="109"/>
      <c r="AT840" s="110"/>
      <c r="AU840" s="109"/>
      <c r="AV840" s="111"/>
      <c r="AW840" s="109"/>
      <c r="AX840" s="109"/>
      <c r="AY840" s="110"/>
      <c r="AZ840" s="109"/>
      <c r="BA840" s="111"/>
      <c r="BB840" s="109"/>
      <c r="BC840" s="109"/>
      <c r="BD840" s="110"/>
      <c r="BE840" s="109"/>
      <c r="BF840" s="111"/>
      <c r="BG840" s="109"/>
      <c r="BH840" s="109"/>
      <c r="BI840" s="110"/>
      <c r="BJ840" s="109"/>
      <c r="BK840" s="111"/>
      <c r="BL840" s="109"/>
      <c r="BM840" s="109"/>
      <c r="BN840" s="110"/>
      <c r="BO840" s="109"/>
      <c r="BP840" s="111"/>
      <c r="BQ840" s="109"/>
      <c r="BR840" s="109"/>
      <c r="BS840" s="110"/>
      <c r="BT840" s="109"/>
      <c r="BU840" s="111"/>
      <c r="BV840" s="109"/>
      <c r="BW840" s="109"/>
      <c r="BX840" s="110"/>
      <c r="BY840" s="109"/>
      <c r="BZ840" s="111"/>
      <c r="CA840" s="109"/>
      <c r="CB840" s="109"/>
      <c r="CC840" s="110"/>
      <c r="CD840" s="109"/>
      <c r="CE840" s="111"/>
      <c r="CF840" s="109"/>
      <c r="CG840" s="109"/>
      <c r="CH840" s="110"/>
      <c r="CI840" s="109"/>
      <c r="CJ840" s="111"/>
      <c r="CK840" s="109"/>
      <c r="CL840" s="109"/>
      <c r="CM840" s="110"/>
      <c r="CN840" s="109"/>
      <c r="CO840" s="111"/>
      <c r="CP840" s="109"/>
      <c r="CQ840" s="109"/>
      <c r="CR840" s="110"/>
      <c r="CS840" s="109"/>
      <c r="CT840" s="111"/>
      <c r="CU840" s="109"/>
      <c r="CV840" s="109"/>
      <c r="CW840" s="110"/>
      <c r="CX840" s="109"/>
      <c r="CY840" s="111"/>
      <c r="CZ840" s="109"/>
      <c r="DA840" s="109"/>
      <c r="DB840" s="110"/>
      <c r="DC840" s="109"/>
      <c r="DD840" s="111"/>
      <c r="DE840" s="109"/>
      <c r="DF840" s="109"/>
      <c r="DG840" s="110"/>
      <c r="DH840" s="109"/>
      <c r="DI840" s="111"/>
      <c r="DJ840" s="109"/>
      <c r="DK840" s="109"/>
      <c r="DL840" s="110"/>
      <c r="DM840" s="109"/>
      <c r="DN840" s="111"/>
      <c r="DO840" s="109"/>
      <c r="DP840" s="109"/>
      <c r="DQ840" s="110"/>
      <c r="DR840" s="109"/>
      <c r="DS840" s="111"/>
      <c r="DT840" s="109"/>
      <c r="DU840" s="109"/>
      <c r="DV840" s="110"/>
      <c r="DW840" s="109"/>
      <c r="DX840" s="111"/>
      <c r="DY840" s="109"/>
      <c r="DZ840" s="109"/>
      <c r="EA840" s="110"/>
      <c r="EB840" s="109"/>
      <c r="EC840" s="111"/>
      <c r="ED840" s="109"/>
      <c r="EE840" s="109"/>
      <c r="EF840" s="110"/>
      <c r="EG840" s="109"/>
      <c r="EH840" s="111"/>
      <c r="EI840" s="109"/>
      <c r="EJ840" s="109"/>
      <c r="EK840" s="110"/>
      <c r="EL840" s="109"/>
      <c r="EM840" s="111"/>
      <c r="EN840" s="109"/>
      <c r="EO840" s="109"/>
      <c r="EP840" s="110"/>
      <c r="EQ840" s="109"/>
      <c r="ER840" s="111"/>
      <c r="ES840" s="109"/>
      <c r="ET840" s="109"/>
      <c r="EU840" s="110"/>
      <c r="EV840" s="109"/>
      <c r="EW840" s="111"/>
      <c r="EX840" s="109"/>
      <c r="EY840" s="109"/>
      <c r="EZ840" s="110"/>
      <c r="FA840" s="109"/>
      <c r="FB840" s="111"/>
      <c r="FC840" s="109"/>
      <c r="FD840" s="109"/>
      <c r="FE840" s="110"/>
      <c r="FF840" s="109"/>
      <c r="FG840" s="111"/>
      <c r="FH840" s="109"/>
      <c r="FI840" s="109"/>
      <c r="FJ840" s="110"/>
      <c r="FK840" s="109"/>
      <c r="FL840" s="111"/>
      <c r="FM840" s="109"/>
      <c r="FN840" s="109"/>
      <c r="FO840" s="110"/>
      <c r="FP840" s="109"/>
      <c r="FQ840" s="111"/>
      <c r="FR840" s="109"/>
      <c r="FS840" s="109"/>
      <c r="FT840" s="110"/>
      <c r="FU840" s="109"/>
      <c r="FV840" s="111"/>
      <c r="FW840" s="109"/>
      <c r="FX840" s="109"/>
      <c r="FY840" s="110"/>
      <c r="FZ840" s="109"/>
      <c r="GA840" s="111"/>
      <c r="GB840" s="109"/>
      <c r="GC840" s="109"/>
      <c r="GD840" s="110"/>
      <c r="GE840" s="109"/>
      <c r="GF840" s="111"/>
      <c r="GG840" s="109"/>
      <c r="GH840" s="109"/>
      <c r="GI840" s="110"/>
      <c r="GJ840" s="109"/>
      <c r="GK840" s="111"/>
      <c r="GL840" s="109"/>
      <c r="GM840" s="109"/>
      <c r="GN840" s="110"/>
      <c r="GO840" s="109"/>
      <c r="GP840" s="111"/>
      <c r="GQ840" s="109"/>
      <c r="GR840" s="109"/>
      <c r="GS840" s="110"/>
      <c r="GT840" s="109"/>
      <c r="GU840" s="111"/>
      <c r="GV840" s="109"/>
      <c r="GW840" s="109"/>
      <c r="GX840" s="110"/>
      <c r="GY840" s="109"/>
      <c r="GZ840" s="111"/>
      <c r="HA840" s="109"/>
      <c r="HB840" s="109"/>
      <c r="HC840" s="110"/>
      <c r="HD840" s="109"/>
      <c r="HE840" s="111"/>
      <c r="HF840" s="109"/>
      <c r="HG840" s="109"/>
      <c r="HH840" s="110"/>
      <c r="HI840" s="109"/>
      <c r="HJ840" s="111"/>
      <c r="HK840" s="109"/>
      <c r="HL840" s="109"/>
      <c r="HM840" s="110"/>
      <c r="HN840" s="109"/>
      <c r="HO840" s="111"/>
      <c r="HP840" s="109"/>
      <c r="HQ840" s="109"/>
      <c r="HR840" s="110"/>
      <c r="HS840" s="109"/>
      <c r="HT840" s="111"/>
      <c r="HU840" s="109"/>
      <c r="HV840" s="109"/>
      <c r="HW840" s="110"/>
      <c r="HX840" s="109"/>
      <c r="HY840" s="111"/>
      <c r="HZ840" s="109"/>
      <c r="IA840" s="109"/>
      <c r="IB840" s="110"/>
      <c r="IC840" s="109"/>
      <c r="ID840" s="111"/>
      <c r="IE840" s="109"/>
      <c r="IF840" s="109"/>
      <c r="IG840" s="110"/>
      <c r="IH840" s="109"/>
      <c r="II840" s="111"/>
      <c r="IJ840" s="109"/>
      <c r="IK840" s="109"/>
      <c r="IL840" s="110"/>
      <c r="IM840" s="109"/>
      <c r="IN840" s="111"/>
      <c r="IO840" s="109"/>
      <c r="IP840" s="109"/>
      <c r="IQ840" s="110"/>
      <c r="IR840" s="109"/>
      <c r="IS840" s="111"/>
      <c r="IT840" s="109"/>
      <c r="IU840" s="109"/>
      <c r="IV840" s="110"/>
    </row>
    <row r="841" spans="1:256" s="123" customFormat="1" ht="14.25">
      <c r="A841" s="134">
        <v>37076</v>
      </c>
      <c r="B841" s="111">
        <v>54.255</v>
      </c>
      <c r="C841" s="111">
        <f t="shared" si="14"/>
        <v>0.054255000000000005</v>
      </c>
      <c r="D841" s="111">
        <v>30.2576</v>
      </c>
      <c r="E841" s="111">
        <v>35.6098</v>
      </c>
      <c r="F841" s="131"/>
      <c r="G841" s="109"/>
      <c r="H841" s="111"/>
      <c r="I841" s="109"/>
      <c r="J841" s="109"/>
      <c r="K841" s="110"/>
      <c r="L841" s="109"/>
      <c r="M841" s="111"/>
      <c r="N841" s="109"/>
      <c r="O841" s="109"/>
      <c r="P841" s="110"/>
      <c r="Q841" s="109"/>
      <c r="R841" s="111"/>
      <c r="S841" s="109"/>
      <c r="T841" s="109"/>
      <c r="U841" s="110"/>
      <c r="V841" s="109"/>
      <c r="W841" s="111"/>
      <c r="X841" s="109"/>
      <c r="Y841" s="109"/>
      <c r="Z841" s="110"/>
      <c r="AA841" s="109"/>
      <c r="AB841" s="111"/>
      <c r="AC841" s="109"/>
      <c r="AD841" s="109"/>
      <c r="AE841" s="110"/>
      <c r="AF841" s="109"/>
      <c r="AG841" s="111"/>
      <c r="AH841" s="109"/>
      <c r="AI841" s="109"/>
      <c r="AJ841" s="110"/>
      <c r="AK841" s="109"/>
      <c r="AL841" s="111"/>
      <c r="AM841" s="109"/>
      <c r="AN841" s="109"/>
      <c r="AO841" s="110"/>
      <c r="AP841" s="109"/>
      <c r="AQ841" s="111"/>
      <c r="AR841" s="109"/>
      <c r="AS841" s="109"/>
      <c r="AT841" s="110"/>
      <c r="AU841" s="109"/>
      <c r="AV841" s="111"/>
      <c r="AW841" s="109"/>
      <c r="AX841" s="109"/>
      <c r="AY841" s="110"/>
      <c r="AZ841" s="109"/>
      <c r="BA841" s="111"/>
      <c r="BB841" s="109"/>
      <c r="BC841" s="109"/>
      <c r="BD841" s="110"/>
      <c r="BE841" s="109"/>
      <c r="BF841" s="111"/>
      <c r="BG841" s="109"/>
      <c r="BH841" s="109"/>
      <c r="BI841" s="110"/>
      <c r="BJ841" s="109"/>
      <c r="BK841" s="111"/>
      <c r="BL841" s="109"/>
      <c r="BM841" s="109"/>
      <c r="BN841" s="110"/>
      <c r="BO841" s="109"/>
      <c r="BP841" s="111"/>
      <c r="BQ841" s="109"/>
      <c r="BR841" s="109"/>
      <c r="BS841" s="110"/>
      <c r="BT841" s="109"/>
      <c r="BU841" s="111"/>
      <c r="BV841" s="109"/>
      <c r="BW841" s="109"/>
      <c r="BX841" s="110"/>
      <c r="BY841" s="109"/>
      <c r="BZ841" s="111"/>
      <c r="CA841" s="109"/>
      <c r="CB841" s="109"/>
      <c r="CC841" s="110"/>
      <c r="CD841" s="109"/>
      <c r="CE841" s="111"/>
      <c r="CF841" s="109"/>
      <c r="CG841" s="109"/>
      <c r="CH841" s="110"/>
      <c r="CI841" s="109"/>
      <c r="CJ841" s="111"/>
      <c r="CK841" s="109"/>
      <c r="CL841" s="109"/>
      <c r="CM841" s="110"/>
      <c r="CN841" s="109"/>
      <c r="CO841" s="111"/>
      <c r="CP841" s="109"/>
      <c r="CQ841" s="109"/>
      <c r="CR841" s="110"/>
      <c r="CS841" s="109"/>
      <c r="CT841" s="111"/>
      <c r="CU841" s="109"/>
      <c r="CV841" s="109"/>
      <c r="CW841" s="110"/>
      <c r="CX841" s="109"/>
      <c r="CY841" s="111"/>
      <c r="CZ841" s="109"/>
      <c r="DA841" s="109"/>
      <c r="DB841" s="110"/>
      <c r="DC841" s="109"/>
      <c r="DD841" s="111"/>
      <c r="DE841" s="109"/>
      <c r="DF841" s="109"/>
      <c r="DG841" s="110"/>
      <c r="DH841" s="109"/>
      <c r="DI841" s="111"/>
      <c r="DJ841" s="109"/>
      <c r="DK841" s="109"/>
      <c r="DL841" s="110"/>
      <c r="DM841" s="109"/>
      <c r="DN841" s="111"/>
      <c r="DO841" s="109"/>
      <c r="DP841" s="109"/>
      <c r="DQ841" s="110"/>
      <c r="DR841" s="109"/>
      <c r="DS841" s="111"/>
      <c r="DT841" s="109"/>
      <c r="DU841" s="109"/>
      <c r="DV841" s="110"/>
      <c r="DW841" s="109"/>
      <c r="DX841" s="111"/>
      <c r="DY841" s="109"/>
      <c r="DZ841" s="109"/>
      <c r="EA841" s="110"/>
      <c r="EB841" s="109"/>
      <c r="EC841" s="111"/>
      <c r="ED841" s="109"/>
      <c r="EE841" s="109"/>
      <c r="EF841" s="110"/>
      <c r="EG841" s="109"/>
      <c r="EH841" s="111"/>
      <c r="EI841" s="109"/>
      <c r="EJ841" s="109"/>
      <c r="EK841" s="110"/>
      <c r="EL841" s="109"/>
      <c r="EM841" s="111"/>
      <c r="EN841" s="109"/>
      <c r="EO841" s="109"/>
      <c r="EP841" s="110"/>
      <c r="EQ841" s="109"/>
      <c r="ER841" s="111"/>
      <c r="ES841" s="109"/>
      <c r="ET841" s="109"/>
      <c r="EU841" s="110"/>
      <c r="EV841" s="109"/>
      <c r="EW841" s="111"/>
      <c r="EX841" s="109"/>
      <c r="EY841" s="109"/>
      <c r="EZ841" s="110"/>
      <c r="FA841" s="109"/>
      <c r="FB841" s="111"/>
      <c r="FC841" s="109"/>
      <c r="FD841" s="109"/>
      <c r="FE841" s="110"/>
      <c r="FF841" s="109"/>
      <c r="FG841" s="111"/>
      <c r="FH841" s="109"/>
      <c r="FI841" s="109"/>
      <c r="FJ841" s="110"/>
      <c r="FK841" s="109"/>
      <c r="FL841" s="111"/>
      <c r="FM841" s="109"/>
      <c r="FN841" s="109"/>
      <c r="FO841" s="110"/>
      <c r="FP841" s="109"/>
      <c r="FQ841" s="111"/>
      <c r="FR841" s="109"/>
      <c r="FS841" s="109"/>
      <c r="FT841" s="110"/>
      <c r="FU841" s="109"/>
      <c r="FV841" s="111"/>
      <c r="FW841" s="109"/>
      <c r="FX841" s="109"/>
      <c r="FY841" s="110"/>
      <c r="FZ841" s="109"/>
      <c r="GA841" s="111"/>
      <c r="GB841" s="109"/>
      <c r="GC841" s="109"/>
      <c r="GD841" s="110"/>
      <c r="GE841" s="109"/>
      <c r="GF841" s="111"/>
      <c r="GG841" s="109"/>
      <c r="GH841" s="109"/>
      <c r="GI841" s="110"/>
      <c r="GJ841" s="109"/>
      <c r="GK841" s="111"/>
      <c r="GL841" s="109"/>
      <c r="GM841" s="109"/>
      <c r="GN841" s="110"/>
      <c r="GO841" s="109"/>
      <c r="GP841" s="111"/>
      <c r="GQ841" s="109"/>
      <c r="GR841" s="109"/>
      <c r="GS841" s="110"/>
      <c r="GT841" s="109"/>
      <c r="GU841" s="111"/>
      <c r="GV841" s="109"/>
      <c r="GW841" s="109"/>
      <c r="GX841" s="110"/>
      <c r="GY841" s="109"/>
      <c r="GZ841" s="111"/>
      <c r="HA841" s="109"/>
      <c r="HB841" s="109"/>
      <c r="HC841" s="110"/>
      <c r="HD841" s="109"/>
      <c r="HE841" s="111"/>
      <c r="HF841" s="109"/>
      <c r="HG841" s="109"/>
      <c r="HH841" s="110"/>
      <c r="HI841" s="109"/>
      <c r="HJ841" s="111"/>
      <c r="HK841" s="109"/>
      <c r="HL841" s="109"/>
      <c r="HM841" s="110"/>
      <c r="HN841" s="109"/>
      <c r="HO841" s="111"/>
      <c r="HP841" s="109"/>
      <c r="HQ841" s="109"/>
      <c r="HR841" s="110"/>
      <c r="HS841" s="109"/>
      <c r="HT841" s="111"/>
      <c r="HU841" s="109"/>
      <c r="HV841" s="109"/>
      <c r="HW841" s="110"/>
      <c r="HX841" s="109"/>
      <c r="HY841" s="111"/>
      <c r="HZ841" s="109"/>
      <c r="IA841" s="109"/>
      <c r="IB841" s="110"/>
      <c r="IC841" s="109"/>
      <c r="ID841" s="111"/>
      <c r="IE841" s="109"/>
      <c r="IF841" s="109"/>
      <c r="IG841" s="110"/>
      <c r="IH841" s="109"/>
      <c r="II841" s="111"/>
      <c r="IJ841" s="109"/>
      <c r="IK841" s="109"/>
      <c r="IL841" s="110"/>
      <c r="IM841" s="109"/>
      <c r="IN841" s="111"/>
      <c r="IO841" s="109"/>
      <c r="IP841" s="109"/>
      <c r="IQ841" s="110"/>
      <c r="IR841" s="109"/>
      <c r="IS841" s="111"/>
      <c r="IT841" s="109"/>
      <c r="IU841" s="109"/>
      <c r="IV841" s="110"/>
    </row>
    <row r="842" spans="1:256" s="123" customFormat="1" ht="14.25">
      <c r="A842" s="134">
        <v>37077</v>
      </c>
      <c r="B842" s="111">
        <v>61.487</v>
      </c>
      <c r="C842" s="111">
        <f t="shared" si="14"/>
        <v>0.061487</v>
      </c>
      <c r="D842" s="111">
        <v>34.2076</v>
      </c>
      <c r="E842" s="111">
        <v>40.468</v>
      </c>
      <c r="F842" s="131"/>
      <c r="G842" s="109"/>
      <c r="H842" s="111"/>
      <c r="I842" s="109"/>
      <c r="J842" s="109"/>
      <c r="K842" s="110"/>
      <c r="L842" s="109"/>
      <c r="M842" s="111"/>
      <c r="N842" s="109"/>
      <c r="O842" s="109"/>
      <c r="P842" s="110"/>
      <c r="Q842" s="109"/>
      <c r="R842" s="111"/>
      <c r="S842" s="109"/>
      <c r="T842" s="109"/>
      <c r="U842" s="110"/>
      <c r="V842" s="109"/>
      <c r="W842" s="111"/>
      <c r="X842" s="109"/>
      <c r="Y842" s="109"/>
      <c r="Z842" s="110"/>
      <c r="AA842" s="109"/>
      <c r="AB842" s="111"/>
      <c r="AC842" s="109"/>
      <c r="AD842" s="109"/>
      <c r="AE842" s="110"/>
      <c r="AF842" s="109"/>
      <c r="AG842" s="111"/>
      <c r="AH842" s="109"/>
      <c r="AI842" s="109"/>
      <c r="AJ842" s="110"/>
      <c r="AK842" s="109"/>
      <c r="AL842" s="111"/>
      <c r="AM842" s="109"/>
      <c r="AN842" s="109"/>
      <c r="AO842" s="110"/>
      <c r="AP842" s="109"/>
      <c r="AQ842" s="111"/>
      <c r="AR842" s="109"/>
      <c r="AS842" s="109"/>
      <c r="AT842" s="110"/>
      <c r="AU842" s="109"/>
      <c r="AV842" s="111"/>
      <c r="AW842" s="109"/>
      <c r="AX842" s="109"/>
      <c r="AY842" s="110"/>
      <c r="AZ842" s="109"/>
      <c r="BA842" s="111"/>
      <c r="BB842" s="109"/>
      <c r="BC842" s="109"/>
      <c r="BD842" s="110"/>
      <c r="BE842" s="109"/>
      <c r="BF842" s="111"/>
      <c r="BG842" s="109"/>
      <c r="BH842" s="109"/>
      <c r="BI842" s="110"/>
      <c r="BJ842" s="109"/>
      <c r="BK842" s="111"/>
      <c r="BL842" s="109"/>
      <c r="BM842" s="109"/>
      <c r="BN842" s="110"/>
      <c r="BO842" s="109"/>
      <c r="BP842" s="111"/>
      <c r="BQ842" s="109"/>
      <c r="BR842" s="109"/>
      <c r="BS842" s="110"/>
      <c r="BT842" s="109"/>
      <c r="BU842" s="111"/>
      <c r="BV842" s="109"/>
      <c r="BW842" s="109"/>
      <c r="BX842" s="110"/>
      <c r="BY842" s="109"/>
      <c r="BZ842" s="111"/>
      <c r="CA842" s="109"/>
      <c r="CB842" s="109"/>
      <c r="CC842" s="110"/>
      <c r="CD842" s="109"/>
      <c r="CE842" s="111"/>
      <c r="CF842" s="109"/>
      <c r="CG842" s="109"/>
      <c r="CH842" s="110"/>
      <c r="CI842" s="109"/>
      <c r="CJ842" s="111"/>
      <c r="CK842" s="109"/>
      <c r="CL842" s="109"/>
      <c r="CM842" s="110"/>
      <c r="CN842" s="109"/>
      <c r="CO842" s="111"/>
      <c r="CP842" s="109"/>
      <c r="CQ842" s="109"/>
      <c r="CR842" s="110"/>
      <c r="CS842" s="109"/>
      <c r="CT842" s="111"/>
      <c r="CU842" s="109"/>
      <c r="CV842" s="109"/>
      <c r="CW842" s="110"/>
      <c r="CX842" s="109"/>
      <c r="CY842" s="111"/>
      <c r="CZ842" s="109"/>
      <c r="DA842" s="109"/>
      <c r="DB842" s="110"/>
      <c r="DC842" s="109"/>
      <c r="DD842" s="111"/>
      <c r="DE842" s="109"/>
      <c r="DF842" s="109"/>
      <c r="DG842" s="110"/>
      <c r="DH842" s="109"/>
      <c r="DI842" s="111"/>
      <c r="DJ842" s="109"/>
      <c r="DK842" s="109"/>
      <c r="DL842" s="110"/>
      <c r="DM842" s="109"/>
      <c r="DN842" s="111"/>
      <c r="DO842" s="109"/>
      <c r="DP842" s="109"/>
      <c r="DQ842" s="110"/>
      <c r="DR842" s="109"/>
      <c r="DS842" s="111"/>
      <c r="DT842" s="109"/>
      <c r="DU842" s="109"/>
      <c r="DV842" s="110"/>
      <c r="DW842" s="109"/>
      <c r="DX842" s="111"/>
      <c r="DY842" s="109"/>
      <c r="DZ842" s="109"/>
      <c r="EA842" s="110"/>
      <c r="EB842" s="109"/>
      <c r="EC842" s="111"/>
      <c r="ED842" s="109"/>
      <c r="EE842" s="109"/>
      <c r="EF842" s="110"/>
      <c r="EG842" s="109"/>
      <c r="EH842" s="111"/>
      <c r="EI842" s="109"/>
      <c r="EJ842" s="109"/>
      <c r="EK842" s="110"/>
      <c r="EL842" s="109"/>
      <c r="EM842" s="111"/>
      <c r="EN842" s="109"/>
      <c r="EO842" s="109"/>
      <c r="EP842" s="110"/>
      <c r="EQ842" s="109"/>
      <c r="ER842" s="111"/>
      <c r="ES842" s="109"/>
      <c r="ET842" s="109"/>
      <c r="EU842" s="110"/>
      <c r="EV842" s="109"/>
      <c r="EW842" s="111"/>
      <c r="EX842" s="109"/>
      <c r="EY842" s="109"/>
      <c r="EZ842" s="110"/>
      <c r="FA842" s="109"/>
      <c r="FB842" s="111"/>
      <c r="FC842" s="109"/>
      <c r="FD842" s="109"/>
      <c r="FE842" s="110"/>
      <c r="FF842" s="109"/>
      <c r="FG842" s="111"/>
      <c r="FH842" s="109"/>
      <c r="FI842" s="109"/>
      <c r="FJ842" s="110"/>
      <c r="FK842" s="109"/>
      <c r="FL842" s="111"/>
      <c r="FM842" s="109"/>
      <c r="FN842" s="109"/>
      <c r="FO842" s="110"/>
      <c r="FP842" s="109"/>
      <c r="FQ842" s="111"/>
      <c r="FR842" s="109"/>
      <c r="FS842" s="109"/>
      <c r="FT842" s="110"/>
      <c r="FU842" s="109"/>
      <c r="FV842" s="111"/>
      <c r="FW842" s="109"/>
      <c r="FX842" s="109"/>
      <c r="FY842" s="110"/>
      <c r="FZ842" s="109"/>
      <c r="GA842" s="111"/>
      <c r="GB842" s="109"/>
      <c r="GC842" s="109"/>
      <c r="GD842" s="110"/>
      <c r="GE842" s="109"/>
      <c r="GF842" s="111"/>
      <c r="GG842" s="109"/>
      <c r="GH842" s="109"/>
      <c r="GI842" s="110"/>
      <c r="GJ842" s="109"/>
      <c r="GK842" s="111"/>
      <c r="GL842" s="109"/>
      <c r="GM842" s="109"/>
      <c r="GN842" s="110"/>
      <c r="GO842" s="109"/>
      <c r="GP842" s="111"/>
      <c r="GQ842" s="109"/>
      <c r="GR842" s="109"/>
      <c r="GS842" s="110"/>
      <c r="GT842" s="109"/>
      <c r="GU842" s="111"/>
      <c r="GV842" s="109"/>
      <c r="GW842" s="109"/>
      <c r="GX842" s="110"/>
      <c r="GY842" s="109"/>
      <c r="GZ842" s="111"/>
      <c r="HA842" s="109"/>
      <c r="HB842" s="109"/>
      <c r="HC842" s="110"/>
      <c r="HD842" s="109"/>
      <c r="HE842" s="111"/>
      <c r="HF842" s="109"/>
      <c r="HG842" s="109"/>
      <c r="HH842" s="110"/>
      <c r="HI842" s="109"/>
      <c r="HJ842" s="111"/>
      <c r="HK842" s="109"/>
      <c r="HL842" s="109"/>
      <c r="HM842" s="110"/>
      <c r="HN842" s="109"/>
      <c r="HO842" s="111"/>
      <c r="HP842" s="109"/>
      <c r="HQ842" s="109"/>
      <c r="HR842" s="110"/>
      <c r="HS842" s="109"/>
      <c r="HT842" s="111"/>
      <c r="HU842" s="109"/>
      <c r="HV842" s="109"/>
      <c r="HW842" s="110"/>
      <c r="HX842" s="109"/>
      <c r="HY842" s="111"/>
      <c r="HZ842" s="109"/>
      <c r="IA842" s="109"/>
      <c r="IB842" s="110"/>
      <c r="IC842" s="109"/>
      <c r="ID842" s="111"/>
      <c r="IE842" s="109"/>
      <c r="IF842" s="109"/>
      <c r="IG842" s="110"/>
      <c r="IH842" s="109"/>
      <c r="II842" s="111"/>
      <c r="IJ842" s="109"/>
      <c r="IK842" s="109"/>
      <c r="IL842" s="110"/>
      <c r="IM842" s="109"/>
      <c r="IN842" s="111"/>
      <c r="IO842" s="109"/>
      <c r="IP842" s="109"/>
      <c r="IQ842" s="110"/>
      <c r="IR842" s="109"/>
      <c r="IS842" s="111"/>
      <c r="IT842" s="109"/>
      <c r="IU842" s="109"/>
      <c r="IV842" s="110"/>
    </row>
    <row r="843" spans="1:256" s="123" customFormat="1" ht="14.25">
      <c r="A843" s="134">
        <v>37078</v>
      </c>
      <c r="B843" s="111">
        <v>54.6698</v>
      </c>
      <c r="C843" s="111">
        <f t="shared" si="14"/>
        <v>0.054669800000000005</v>
      </c>
      <c r="D843" s="111">
        <v>30.2595</v>
      </c>
      <c r="E843" s="111">
        <v>35.9291</v>
      </c>
      <c r="F843" s="131"/>
      <c r="G843" s="109"/>
      <c r="H843" s="111"/>
      <c r="I843" s="109"/>
      <c r="J843" s="109"/>
      <c r="K843" s="110"/>
      <c r="L843" s="109"/>
      <c r="M843" s="111"/>
      <c r="N843" s="109"/>
      <c r="O843" s="109"/>
      <c r="P843" s="110"/>
      <c r="Q843" s="109"/>
      <c r="R843" s="111"/>
      <c r="S843" s="109"/>
      <c r="T843" s="109"/>
      <c r="U843" s="110"/>
      <c r="V843" s="109"/>
      <c r="W843" s="111"/>
      <c r="X843" s="109"/>
      <c r="Y843" s="109"/>
      <c r="Z843" s="110"/>
      <c r="AA843" s="109"/>
      <c r="AB843" s="111"/>
      <c r="AC843" s="109"/>
      <c r="AD843" s="109"/>
      <c r="AE843" s="110"/>
      <c r="AF843" s="109"/>
      <c r="AG843" s="111"/>
      <c r="AH843" s="109"/>
      <c r="AI843" s="109"/>
      <c r="AJ843" s="110"/>
      <c r="AK843" s="109"/>
      <c r="AL843" s="111"/>
      <c r="AM843" s="109"/>
      <c r="AN843" s="109"/>
      <c r="AO843" s="110"/>
      <c r="AP843" s="109"/>
      <c r="AQ843" s="111"/>
      <c r="AR843" s="109"/>
      <c r="AS843" s="109"/>
      <c r="AT843" s="110"/>
      <c r="AU843" s="109"/>
      <c r="AV843" s="111"/>
      <c r="AW843" s="109"/>
      <c r="AX843" s="109"/>
      <c r="AY843" s="110"/>
      <c r="AZ843" s="109"/>
      <c r="BA843" s="111"/>
      <c r="BB843" s="109"/>
      <c r="BC843" s="109"/>
      <c r="BD843" s="110"/>
      <c r="BE843" s="109"/>
      <c r="BF843" s="111"/>
      <c r="BG843" s="109"/>
      <c r="BH843" s="109"/>
      <c r="BI843" s="110"/>
      <c r="BJ843" s="109"/>
      <c r="BK843" s="111"/>
      <c r="BL843" s="109"/>
      <c r="BM843" s="109"/>
      <c r="BN843" s="110"/>
      <c r="BO843" s="109"/>
      <c r="BP843" s="111"/>
      <c r="BQ843" s="109"/>
      <c r="BR843" s="109"/>
      <c r="BS843" s="110"/>
      <c r="BT843" s="109"/>
      <c r="BU843" s="111"/>
      <c r="BV843" s="109"/>
      <c r="BW843" s="109"/>
      <c r="BX843" s="110"/>
      <c r="BY843" s="109"/>
      <c r="BZ843" s="111"/>
      <c r="CA843" s="109"/>
      <c r="CB843" s="109"/>
      <c r="CC843" s="110"/>
      <c r="CD843" s="109"/>
      <c r="CE843" s="111"/>
      <c r="CF843" s="109"/>
      <c r="CG843" s="109"/>
      <c r="CH843" s="110"/>
      <c r="CI843" s="109"/>
      <c r="CJ843" s="111"/>
      <c r="CK843" s="109"/>
      <c r="CL843" s="109"/>
      <c r="CM843" s="110"/>
      <c r="CN843" s="109"/>
      <c r="CO843" s="111"/>
      <c r="CP843" s="109"/>
      <c r="CQ843" s="109"/>
      <c r="CR843" s="110"/>
      <c r="CS843" s="109"/>
      <c r="CT843" s="111"/>
      <c r="CU843" s="109"/>
      <c r="CV843" s="109"/>
      <c r="CW843" s="110"/>
      <c r="CX843" s="109"/>
      <c r="CY843" s="111"/>
      <c r="CZ843" s="109"/>
      <c r="DA843" s="109"/>
      <c r="DB843" s="110"/>
      <c r="DC843" s="109"/>
      <c r="DD843" s="111"/>
      <c r="DE843" s="109"/>
      <c r="DF843" s="109"/>
      <c r="DG843" s="110"/>
      <c r="DH843" s="109"/>
      <c r="DI843" s="111"/>
      <c r="DJ843" s="109"/>
      <c r="DK843" s="109"/>
      <c r="DL843" s="110"/>
      <c r="DM843" s="109"/>
      <c r="DN843" s="111"/>
      <c r="DO843" s="109"/>
      <c r="DP843" s="109"/>
      <c r="DQ843" s="110"/>
      <c r="DR843" s="109"/>
      <c r="DS843" s="111"/>
      <c r="DT843" s="109"/>
      <c r="DU843" s="109"/>
      <c r="DV843" s="110"/>
      <c r="DW843" s="109"/>
      <c r="DX843" s="111"/>
      <c r="DY843" s="109"/>
      <c r="DZ843" s="109"/>
      <c r="EA843" s="110"/>
      <c r="EB843" s="109"/>
      <c r="EC843" s="111"/>
      <c r="ED843" s="109"/>
      <c r="EE843" s="109"/>
      <c r="EF843" s="110"/>
      <c r="EG843" s="109"/>
      <c r="EH843" s="111"/>
      <c r="EI843" s="109"/>
      <c r="EJ843" s="109"/>
      <c r="EK843" s="110"/>
      <c r="EL843" s="109"/>
      <c r="EM843" s="111"/>
      <c r="EN843" s="109"/>
      <c r="EO843" s="109"/>
      <c r="EP843" s="110"/>
      <c r="EQ843" s="109"/>
      <c r="ER843" s="111"/>
      <c r="ES843" s="109"/>
      <c r="ET843" s="109"/>
      <c r="EU843" s="110"/>
      <c r="EV843" s="109"/>
      <c r="EW843" s="111"/>
      <c r="EX843" s="109"/>
      <c r="EY843" s="109"/>
      <c r="EZ843" s="110"/>
      <c r="FA843" s="109"/>
      <c r="FB843" s="111"/>
      <c r="FC843" s="109"/>
      <c r="FD843" s="109"/>
      <c r="FE843" s="110"/>
      <c r="FF843" s="109"/>
      <c r="FG843" s="111"/>
      <c r="FH843" s="109"/>
      <c r="FI843" s="109"/>
      <c r="FJ843" s="110"/>
      <c r="FK843" s="109"/>
      <c r="FL843" s="111"/>
      <c r="FM843" s="109"/>
      <c r="FN843" s="109"/>
      <c r="FO843" s="110"/>
      <c r="FP843" s="109"/>
      <c r="FQ843" s="111"/>
      <c r="FR843" s="109"/>
      <c r="FS843" s="109"/>
      <c r="FT843" s="110"/>
      <c r="FU843" s="109"/>
      <c r="FV843" s="111"/>
      <c r="FW843" s="109"/>
      <c r="FX843" s="109"/>
      <c r="FY843" s="110"/>
      <c r="FZ843" s="109"/>
      <c r="GA843" s="111"/>
      <c r="GB843" s="109"/>
      <c r="GC843" s="109"/>
      <c r="GD843" s="110"/>
      <c r="GE843" s="109"/>
      <c r="GF843" s="111"/>
      <c r="GG843" s="109"/>
      <c r="GH843" s="109"/>
      <c r="GI843" s="110"/>
      <c r="GJ843" s="109"/>
      <c r="GK843" s="111"/>
      <c r="GL843" s="109"/>
      <c r="GM843" s="109"/>
      <c r="GN843" s="110"/>
      <c r="GO843" s="109"/>
      <c r="GP843" s="111"/>
      <c r="GQ843" s="109"/>
      <c r="GR843" s="109"/>
      <c r="GS843" s="110"/>
      <c r="GT843" s="109"/>
      <c r="GU843" s="111"/>
      <c r="GV843" s="109"/>
      <c r="GW843" s="109"/>
      <c r="GX843" s="110"/>
      <c r="GY843" s="109"/>
      <c r="GZ843" s="111"/>
      <c r="HA843" s="109"/>
      <c r="HB843" s="109"/>
      <c r="HC843" s="110"/>
      <c r="HD843" s="109"/>
      <c r="HE843" s="111"/>
      <c r="HF843" s="109"/>
      <c r="HG843" s="109"/>
      <c r="HH843" s="110"/>
      <c r="HI843" s="109"/>
      <c r="HJ843" s="111"/>
      <c r="HK843" s="109"/>
      <c r="HL843" s="109"/>
      <c r="HM843" s="110"/>
      <c r="HN843" s="109"/>
      <c r="HO843" s="111"/>
      <c r="HP843" s="109"/>
      <c r="HQ843" s="109"/>
      <c r="HR843" s="110"/>
      <c r="HS843" s="109"/>
      <c r="HT843" s="111"/>
      <c r="HU843" s="109"/>
      <c r="HV843" s="109"/>
      <c r="HW843" s="110"/>
      <c r="HX843" s="109"/>
      <c r="HY843" s="111"/>
      <c r="HZ843" s="109"/>
      <c r="IA843" s="109"/>
      <c r="IB843" s="110"/>
      <c r="IC843" s="109"/>
      <c r="ID843" s="111"/>
      <c r="IE843" s="109"/>
      <c r="IF843" s="109"/>
      <c r="IG843" s="110"/>
      <c r="IH843" s="109"/>
      <c r="II843" s="111"/>
      <c r="IJ843" s="109"/>
      <c r="IK843" s="109"/>
      <c r="IL843" s="110"/>
      <c r="IM843" s="109"/>
      <c r="IN843" s="111"/>
      <c r="IO843" s="109"/>
      <c r="IP843" s="109"/>
      <c r="IQ843" s="110"/>
      <c r="IR843" s="109"/>
      <c r="IS843" s="111"/>
      <c r="IT843" s="109"/>
      <c r="IU843" s="109"/>
      <c r="IV843" s="110"/>
    </row>
    <row r="844" spans="1:256" s="123" customFormat="1" ht="14.25">
      <c r="A844" s="134">
        <v>37081</v>
      </c>
      <c r="B844" s="111">
        <v>52.1553</v>
      </c>
      <c r="C844" s="111">
        <f t="shared" si="14"/>
        <v>0.052155299999999995</v>
      </c>
      <c r="D844" s="111">
        <v>28.73</v>
      </c>
      <c r="E844" s="111">
        <v>34.2676</v>
      </c>
      <c r="F844" s="131"/>
      <c r="G844" s="109"/>
      <c r="H844" s="111"/>
      <c r="I844" s="109"/>
      <c r="J844" s="109"/>
      <c r="K844" s="110"/>
      <c r="L844" s="109"/>
      <c r="M844" s="111"/>
      <c r="N844" s="109"/>
      <c r="O844" s="109"/>
      <c r="P844" s="110"/>
      <c r="Q844" s="109"/>
      <c r="R844" s="111"/>
      <c r="S844" s="109"/>
      <c r="T844" s="109"/>
      <c r="U844" s="110"/>
      <c r="V844" s="109"/>
      <c r="W844" s="111"/>
      <c r="X844" s="109"/>
      <c r="Y844" s="109"/>
      <c r="Z844" s="110"/>
      <c r="AA844" s="109"/>
      <c r="AB844" s="111"/>
      <c r="AC844" s="109"/>
      <c r="AD844" s="109"/>
      <c r="AE844" s="110"/>
      <c r="AF844" s="109"/>
      <c r="AG844" s="111"/>
      <c r="AH844" s="109"/>
      <c r="AI844" s="109"/>
      <c r="AJ844" s="110"/>
      <c r="AK844" s="109"/>
      <c r="AL844" s="111"/>
      <c r="AM844" s="109"/>
      <c r="AN844" s="109"/>
      <c r="AO844" s="110"/>
      <c r="AP844" s="109"/>
      <c r="AQ844" s="111"/>
      <c r="AR844" s="109"/>
      <c r="AS844" s="109"/>
      <c r="AT844" s="110"/>
      <c r="AU844" s="109"/>
      <c r="AV844" s="111"/>
      <c r="AW844" s="109"/>
      <c r="AX844" s="109"/>
      <c r="AY844" s="110"/>
      <c r="AZ844" s="109"/>
      <c r="BA844" s="111"/>
      <c r="BB844" s="109"/>
      <c r="BC844" s="109"/>
      <c r="BD844" s="110"/>
      <c r="BE844" s="109"/>
      <c r="BF844" s="111"/>
      <c r="BG844" s="109"/>
      <c r="BH844" s="109"/>
      <c r="BI844" s="110"/>
      <c r="BJ844" s="109"/>
      <c r="BK844" s="111"/>
      <c r="BL844" s="109"/>
      <c r="BM844" s="109"/>
      <c r="BN844" s="110"/>
      <c r="BO844" s="109"/>
      <c r="BP844" s="111"/>
      <c r="BQ844" s="109"/>
      <c r="BR844" s="109"/>
      <c r="BS844" s="110"/>
      <c r="BT844" s="109"/>
      <c r="BU844" s="111"/>
      <c r="BV844" s="109"/>
      <c r="BW844" s="109"/>
      <c r="BX844" s="110"/>
      <c r="BY844" s="109"/>
      <c r="BZ844" s="111"/>
      <c r="CA844" s="109"/>
      <c r="CB844" s="109"/>
      <c r="CC844" s="110"/>
      <c r="CD844" s="109"/>
      <c r="CE844" s="111"/>
      <c r="CF844" s="109"/>
      <c r="CG844" s="109"/>
      <c r="CH844" s="110"/>
      <c r="CI844" s="109"/>
      <c r="CJ844" s="111"/>
      <c r="CK844" s="109"/>
      <c r="CL844" s="109"/>
      <c r="CM844" s="110"/>
      <c r="CN844" s="109"/>
      <c r="CO844" s="111"/>
      <c r="CP844" s="109"/>
      <c r="CQ844" s="109"/>
      <c r="CR844" s="110"/>
      <c r="CS844" s="109"/>
      <c r="CT844" s="111"/>
      <c r="CU844" s="109"/>
      <c r="CV844" s="109"/>
      <c r="CW844" s="110"/>
      <c r="CX844" s="109"/>
      <c r="CY844" s="111"/>
      <c r="CZ844" s="109"/>
      <c r="DA844" s="109"/>
      <c r="DB844" s="110"/>
      <c r="DC844" s="109"/>
      <c r="DD844" s="111"/>
      <c r="DE844" s="109"/>
      <c r="DF844" s="109"/>
      <c r="DG844" s="110"/>
      <c r="DH844" s="109"/>
      <c r="DI844" s="111"/>
      <c r="DJ844" s="109"/>
      <c r="DK844" s="109"/>
      <c r="DL844" s="110"/>
      <c r="DM844" s="109"/>
      <c r="DN844" s="111"/>
      <c r="DO844" s="109"/>
      <c r="DP844" s="109"/>
      <c r="DQ844" s="110"/>
      <c r="DR844" s="109"/>
      <c r="DS844" s="111"/>
      <c r="DT844" s="109"/>
      <c r="DU844" s="109"/>
      <c r="DV844" s="110"/>
      <c r="DW844" s="109"/>
      <c r="DX844" s="111"/>
      <c r="DY844" s="109"/>
      <c r="DZ844" s="109"/>
      <c r="EA844" s="110"/>
      <c r="EB844" s="109"/>
      <c r="EC844" s="111"/>
      <c r="ED844" s="109"/>
      <c r="EE844" s="109"/>
      <c r="EF844" s="110"/>
      <c r="EG844" s="109"/>
      <c r="EH844" s="111"/>
      <c r="EI844" s="109"/>
      <c r="EJ844" s="109"/>
      <c r="EK844" s="110"/>
      <c r="EL844" s="109"/>
      <c r="EM844" s="111"/>
      <c r="EN844" s="109"/>
      <c r="EO844" s="109"/>
      <c r="EP844" s="110"/>
      <c r="EQ844" s="109"/>
      <c r="ER844" s="111"/>
      <c r="ES844" s="109"/>
      <c r="ET844" s="109"/>
      <c r="EU844" s="110"/>
      <c r="EV844" s="109"/>
      <c r="EW844" s="111"/>
      <c r="EX844" s="109"/>
      <c r="EY844" s="109"/>
      <c r="EZ844" s="110"/>
      <c r="FA844" s="109"/>
      <c r="FB844" s="111"/>
      <c r="FC844" s="109"/>
      <c r="FD844" s="109"/>
      <c r="FE844" s="110"/>
      <c r="FF844" s="109"/>
      <c r="FG844" s="111"/>
      <c r="FH844" s="109"/>
      <c r="FI844" s="109"/>
      <c r="FJ844" s="110"/>
      <c r="FK844" s="109"/>
      <c r="FL844" s="111"/>
      <c r="FM844" s="109"/>
      <c r="FN844" s="109"/>
      <c r="FO844" s="110"/>
      <c r="FP844" s="109"/>
      <c r="FQ844" s="111"/>
      <c r="FR844" s="109"/>
      <c r="FS844" s="109"/>
      <c r="FT844" s="110"/>
      <c r="FU844" s="109"/>
      <c r="FV844" s="111"/>
      <c r="FW844" s="109"/>
      <c r="FX844" s="109"/>
      <c r="FY844" s="110"/>
      <c r="FZ844" s="109"/>
      <c r="GA844" s="111"/>
      <c r="GB844" s="109"/>
      <c r="GC844" s="109"/>
      <c r="GD844" s="110"/>
      <c r="GE844" s="109"/>
      <c r="GF844" s="111"/>
      <c r="GG844" s="109"/>
      <c r="GH844" s="109"/>
      <c r="GI844" s="110"/>
      <c r="GJ844" s="109"/>
      <c r="GK844" s="111"/>
      <c r="GL844" s="109"/>
      <c r="GM844" s="109"/>
      <c r="GN844" s="110"/>
      <c r="GO844" s="109"/>
      <c r="GP844" s="111"/>
      <c r="GQ844" s="109"/>
      <c r="GR844" s="109"/>
      <c r="GS844" s="110"/>
      <c r="GT844" s="109"/>
      <c r="GU844" s="111"/>
      <c r="GV844" s="109"/>
      <c r="GW844" s="109"/>
      <c r="GX844" s="110"/>
      <c r="GY844" s="109"/>
      <c r="GZ844" s="111"/>
      <c r="HA844" s="109"/>
      <c r="HB844" s="109"/>
      <c r="HC844" s="110"/>
      <c r="HD844" s="109"/>
      <c r="HE844" s="111"/>
      <c r="HF844" s="109"/>
      <c r="HG844" s="109"/>
      <c r="HH844" s="110"/>
      <c r="HI844" s="109"/>
      <c r="HJ844" s="111"/>
      <c r="HK844" s="109"/>
      <c r="HL844" s="109"/>
      <c r="HM844" s="110"/>
      <c r="HN844" s="109"/>
      <c r="HO844" s="111"/>
      <c r="HP844" s="109"/>
      <c r="HQ844" s="109"/>
      <c r="HR844" s="110"/>
      <c r="HS844" s="109"/>
      <c r="HT844" s="111"/>
      <c r="HU844" s="109"/>
      <c r="HV844" s="109"/>
      <c r="HW844" s="110"/>
      <c r="HX844" s="109"/>
      <c r="HY844" s="111"/>
      <c r="HZ844" s="109"/>
      <c r="IA844" s="109"/>
      <c r="IB844" s="110"/>
      <c r="IC844" s="109"/>
      <c r="ID844" s="111"/>
      <c r="IE844" s="109"/>
      <c r="IF844" s="109"/>
      <c r="IG844" s="110"/>
      <c r="IH844" s="109"/>
      <c r="II844" s="111"/>
      <c r="IJ844" s="109"/>
      <c r="IK844" s="109"/>
      <c r="IL844" s="110"/>
      <c r="IM844" s="109"/>
      <c r="IN844" s="111"/>
      <c r="IO844" s="109"/>
      <c r="IP844" s="109"/>
      <c r="IQ844" s="110"/>
      <c r="IR844" s="109"/>
      <c r="IS844" s="111"/>
      <c r="IT844" s="109"/>
      <c r="IU844" s="109"/>
      <c r="IV844" s="110"/>
    </row>
    <row r="845" spans="1:256" s="123" customFormat="1" ht="14.25">
      <c r="A845" s="134">
        <v>37082</v>
      </c>
      <c r="B845" s="111">
        <v>53.8826</v>
      </c>
      <c r="C845" s="111">
        <f t="shared" si="14"/>
        <v>0.053882599999999996</v>
      </c>
      <c r="D845" s="111">
        <v>29.9943</v>
      </c>
      <c r="E845" s="111">
        <v>35.4584</v>
      </c>
      <c r="F845" s="131"/>
      <c r="G845" s="109"/>
      <c r="H845" s="111"/>
      <c r="I845" s="109"/>
      <c r="J845" s="109"/>
      <c r="K845" s="110"/>
      <c r="L845" s="109"/>
      <c r="M845" s="111"/>
      <c r="N845" s="109"/>
      <c r="O845" s="109"/>
      <c r="P845" s="110"/>
      <c r="Q845" s="109"/>
      <c r="R845" s="111"/>
      <c r="S845" s="109"/>
      <c r="T845" s="109"/>
      <c r="U845" s="110"/>
      <c r="V845" s="109"/>
      <c r="W845" s="111"/>
      <c r="X845" s="109"/>
      <c r="Y845" s="109"/>
      <c r="Z845" s="110"/>
      <c r="AA845" s="109"/>
      <c r="AB845" s="111"/>
      <c r="AC845" s="109"/>
      <c r="AD845" s="109"/>
      <c r="AE845" s="110"/>
      <c r="AF845" s="109"/>
      <c r="AG845" s="111"/>
      <c r="AH845" s="109"/>
      <c r="AI845" s="109"/>
      <c r="AJ845" s="110"/>
      <c r="AK845" s="109"/>
      <c r="AL845" s="111"/>
      <c r="AM845" s="109"/>
      <c r="AN845" s="109"/>
      <c r="AO845" s="110"/>
      <c r="AP845" s="109"/>
      <c r="AQ845" s="111"/>
      <c r="AR845" s="109"/>
      <c r="AS845" s="109"/>
      <c r="AT845" s="110"/>
      <c r="AU845" s="109"/>
      <c r="AV845" s="111"/>
      <c r="AW845" s="109"/>
      <c r="AX845" s="109"/>
      <c r="AY845" s="110"/>
      <c r="AZ845" s="109"/>
      <c r="BA845" s="111"/>
      <c r="BB845" s="109"/>
      <c r="BC845" s="109"/>
      <c r="BD845" s="110"/>
      <c r="BE845" s="109"/>
      <c r="BF845" s="111"/>
      <c r="BG845" s="109"/>
      <c r="BH845" s="109"/>
      <c r="BI845" s="110"/>
      <c r="BJ845" s="109"/>
      <c r="BK845" s="111"/>
      <c r="BL845" s="109"/>
      <c r="BM845" s="109"/>
      <c r="BN845" s="110"/>
      <c r="BO845" s="109"/>
      <c r="BP845" s="111"/>
      <c r="BQ845" s="109"/>
      <c r="BR845" s="109"/>
      <c r="BS845" s="110"/>
      <c r="BT845" s="109"/>
      <c r="BU845" s="111"/>
      <c r="BV845" s="109"/>
      <c r="BW845" s="109"/>
      <c r="BX845" s="110"/>
      <c r="BY845" s="109"/>
      <c r="BZ845" s="111"/>
      <c r="CA845" s="109"/>
      <c r="CB845" s="109"/>
      <c r="CC845" s="110"/>
      <c r="CD845" s="109"/>
      <c r="CE845" s="111"/>
      <c r="CF845" s="109"/>
      <c r="CG845" s="109"/>
      <c r="CH845" s="110"/>
      <c r="CI845" s="109"/>
      <c r="CJ845" s="111"/>
      <c r="CK845" s="109"/>
      <c r="CL845" s="109"/>
      <c r="CM845" s="110"/>
      <c r="CN845" s="109"/>
      <c r="CO845" s="111"/>
      <c r="CP845" s="109"/>
      <c r="CQ845" s="109"/>
      <c r="CR845" s="110"/>
      <c r="CS845" s="109"/>
      <c r="CT845" s="111"/>
      <c r="CU845" s="109"/>
      <c r="CV845" s="109"/>
      <c r="CW845" s="110"/>
      <c r="CX845" s="109"/>
      <c r="CY845" s="111"/>
      <c r="CZ845" s="109"/>
      <c r="DA845" s="109"/>
      <c r="DB845" s="110"/>
      <c r="DC845" s="109"/>
      <c r="DD845" s="111"/>
      <c r="DE845" s="109"/>
      <c r="DF845" s="109"/>
      <c r="DG845" s="110"/>
      <c r="DH845" s="109"/>
      <c r="DI845" s="111"/>
      <c r="DJ845" s="109"/>
      <c r="DK845" s="109"/>
      <c r="DL845" s="110"/>
      <c r="DM845" s="109"/>
      <c r="DN845" s="111"/>
      <c r="DO845" s="109"/>
      <c r="DP845" s="109"/>
      <c r="DQ845" s="110"/>
      <c r="DR845" s="109"/>
      <c r="DS845" s="111"/>
      <c r="DT845" s="109"/>
      <c r="DU845" s="109"/>
      <c r="DV845" s="110"/>
      <c r="DW845" s="109"/>
      <c r="DX845" s="111"/>
      <c r="DY845" s="109"/>
      <c r="DZ845" s="109"/>
      <c r="EA845" s="110"/>
      <c r="EB845" s="109"/>
      <c r="EC845" s="111"/>
      <c r="ED845" s="109"/>
      <c r="EE845" s="109"/>
      <c r="EF845" s="110"/>
      <c r="EG845" s="109"/>
      <c r="EH845" s="111"/>
      <c r="EI845" s="109"/>
      <c r="EJ845" s="109"/>
      <c r="EK845" s="110"/>
      <c r="EL845" s="109"/>
      <c r="EM845" s="111"/>
      <c r="EN845" s="109"/>
      <c r="EO845" s="109"/>
      <c r="EP845" s="110"/>
      <c r="EQ845" s="109"/>
      <c r="ER845" s="111"/>
      <c r="ES845" s="109"/>
      <c r="ET845" s="109"/>
      <c r="EU845" s="110"/>
      <c r="EV845" s="109"/>
      <c r="EW845" s="111"/>
      <c r="EX845" s="109"/>
      <c r="EY845" s="109"/>
      <c r="EZ845" s="110"/>
      <c r="FA845" s="109"/>
      <c r="FB845" s="111"/>
      <c r="FC845" s="109"/>
      <c r="FD845" s="109"/>
      <c r="FE845" s="110"/>
      <c r="FF845" s="109"/>
      <c r="FG845" s="111"/>
      <c r="FH845" s="109"/>
      <c r="FI845" s="109"/>
      <c r="FJ845" s="110"/>
      <c r="FK845" s="109"/>
      <c r="FL845" s="111"/>
      <c r="FM845" s="109"/>
      <c r="FN845" s="109"/>
      <c r="FO845" s="110"/>
      <c r="FP845" s="109"/>
      <c r="FQ845" s="111"/>
      <c r="FR845" s="109"/>
      <c r="FS845" s="109"/>
      <c r="FT845" s="110"/>
      <c r="FU845" s="109"/>
      <c r="FV845" s="111"/>
      <c r="FW845" s="109"/>
      <c r="FX845" s="109"/>
      <c r="FY845" s="110"/>
      <c r="FZ845" s="109"/>
      <c r="GA845" s="111"/>
      <c r="GB845" s="109"/>
      <c r="GC845" s="109"/>
      <c r="GD845" s="110"/>
      <c r="GE845" s="109"/>
      <c r="GF845" s="111"/>
      <c r="GG845" s="109"/>
      <c r="GH845" s="109"/>
      <c r="GI845" s="110"/>
      <c r="GJ845" s="109"/>
      <c r="GK845" s="111"/>
      <c r="GL845" s="109"/>
      <c r="GM845" s="109"/>
      <c r="GN845" s="110"/>
      <c r="GO845" s="109"/>
      <c r="GP845" s="111"/>
      <c r="GQ845" s="109"/>
      <c r="GR845" s="109"/>
      <c r="GS845" s="110"/>
      <c r="GT845" s="109"/>
      <c r="GU845" s="111"/>
      <c r="GV845" s="109"/>
      <c r="GW845" s="109"/>
      <c r="GX845" s="110"/>
      <c r="GY845" s="109"/>
      <c r="GZ845" s="111"/>
      <c r="HA845" s="109"/>
      <c r="HB845" s="109"/>
      <c r="HC845" s="110"/>
      <c r="HD845" s="109"/>
      <c r="HE845" s="111"/>
      <c r="HF845" s="109"/>
      <c r="HG845" s="109"/>
      <c r="HH845" s="110"/>
      <c r="HI845" s="109"/>
      <c r="HJ845" s="111"/>
      <c r="HK845" s="109"/>
      <c r="HL845" s="109"/>
      <c r="HM845" s="110"/>
      <c r="HN845" s="109"/>
      <c r="HO845" s="111"/>
      <c r="HP845" s="109"/>
      <c r="HQ845" s="109"/>
      <c r="HR845" s="110"/>
      <c r="HS845" s="109"/>
      <c r="HT845" s="111"/>
      <c r="HU845" s="109"/>
      <c r="HV845" s="109"/>
      <c r="HW845" s="110"/>
      <c r="HX845" s="109"/>
      <c r="HY845" s="111"/>
      <c r="HZ845" s="109"/>
      <c r="IA845" s="109"/>
      <c r="IB845" s="110"/>
      <c r="IC845" s="109"/>
      <c r="ID845" s="111"/>
      <c r="IE845" s="109"/>
      <c r="IF845" s="109"/>
      <c r="IG845" s="110"/>
      <c r="IH845" s="109"/>
      <c r="II845" s="111"/>
      <c r="IJ845" s="109"/>
      <c r="IK845" s="109"/>
      <c r="IL845" s="110"/>
      <c r="IM845" s="109"/>
      <c r="IN845" s="111"/>
      <c r="IO845" s="109"/>
      <c r="IP845" s="109"/>
      <c r="IQ845" s="110"/>
      <c r="IR845" s="109"/>
      <c r="IS845" s="111"/>
      <c r="IT845" s="109"/>
      <c r="IU845" s="109"/>
      <c r="IV845" s="110"/>
    </row>
    <row r="846" spans="1:256" s="123" customFormat="1" ht="14.25">
      <c r="A846" s="134">
        <v>37083</v>
      </c>
      <c r="B846" s="111">
        <v>50.6231</v>
      </c>
      <c r="C846" s="111">
        <f t="shared" si="14"/>
        <v>0.050623100000000004</v>
      </c>
      <c r="D846" s="111">
        <v>28.3879</v>
      </c>
      <c r="E846" s="111">
        <v>33.2216</v>
      </c>
      <c r="F846" s="131"/>
      <c r="G846" s="109"/>
      <c r="H846" s="111"/>
      <c r="I846" s="109"/>
      <c r="J846" s="109"/>
      <c r="K846" s="110"/>
      <c r="L846" s="109"/>
      <c r="M846" s="111"/>
      <c r="N846" s="109"/>
      <c r="O846" s="109"/>
      <c r="P846" s="110"/>
      <c r="Q846" s="109"/>
      <c r="R846" s="111"/>
      <c r="S846" s="109"/>
      <c r="T846" s="109"/>
      <c r="U846" s="110"/>
      <c r="V846" s="109"/>
      <c r="W846" s="111"/>
      <c r="X846" s="109"/>
      <c r="Y846" s="109"/>
      <c r="Z846" s="110"/>
      <c r="AA846" s="109"/>
      <c r="AB846" s="111"/>
      <c r="AC846" s="109"/>
      <c r="AD846" s="109"/>
      <c r="AE846" s="110"/>
      <c r="AF846" s="109"/>
      <c r="AG846" s="111"/>
      <c r="AH846" s="109"/>
      <c r="AI846" s="109"/>
      <c r="AJ846" s="110"/>
      <c r="AK846" s="109"/>
      <c r="AL846" s="111"/>
      <c r="AM846" s="109"/>
      <c r="AN846" s="109"/>
      <c r="AO846" s="110"/>
      <c r="AP846" s="109"/>
      <c r="AQ846" s="111"/>
      <c r="AR846" s="109"/>
      <c r="AS846" s="109"/>
      <c r="AT846" s="110"/>
      <c r="AU846" s="109"/>
      <c r="AV846" s="111"/>
      <c r="AW846" s="109"/>
      <c r="AX846" s="109"/>
      <c r="AY846" s="110"/>
      <c r="AZ846" s="109"/>
      <c r="BA846" s="111"/>
      <c r="BB846" s="109"/>
      <c r="BC846" s="109"/>
      <c r="BD846" s="110"/>
      <c r="BE846" s="109"/>
      <c r="BF846" s="111"/>
      <c r="BG846" s="109"/>
      <c r="BH846" s="109"/>
      <c r="BI846" s="110"/>
      <c r="BJ846" s="109"/>
      <c r="BK846" s="111"/>
      <c r="BL846" s="109"/>
      <c r="BM846" s="109"/>
      <c r="BN846" s="110"/>
      <c r="BO846" s="109"/>
      <c r="BP846" s="111"/>
      <c r="BQ846" s="109"/>
      <c r="BR846" s="109"/>
      <c r="BS846" s="110"/>
      <c r="BT846" s="109"/>
      <c r="BU846" s="111"/>
      <c r="BV846" s="109"/>
      <c r="BW846" s="109"/>
      <c r="BX846" s="110"/>
      <c r="BY846" s="109"/>
      <c r="BZ846" s="111"/>
      <c r="CA846" s="109"/>
      <c r="CB846" s="109"/>
      <c r="CC846" s="110"/>
      <c r="CD846" s="109"/>
      <c r="CE846" s="111"/>
      <c r="CF846" s="109"/>
      <c r="CG846" s="109"/>
      <c r="CH846" s="110"/>
      <c r="CI846" s="109"/>
      <c r="CJ846" s="111"/>
      <c r="CK846" s="109"/>
      <c r="CL846" s="109"/>
      <c r="CM846" s="110"/>
      <c r="CN846" s="109"/>
      <c r="CO846" s="111"/>
      <c r="CP846" s="109"/>
      <c r="CQ846" s="109"/>
      <c r="CR846" s="110"/>
      <c r="CS846" s="109"/>
      <c r="CT846" s="111"/>
      <c r="CU846" s="109"/>
      <c r="CV846" s="109"/>
      <c r="CW846" s="110"/>
      <c r="CX846" s="109"/>
      <c r="CY846" s="111"/>
      <c r="CZ846" s="109"/>
      <c r="DA846" s="109"/>
      <c r="DB846" s="110"/>
      <c r="DC846" s="109"/>
      <c r="DD846" s="111"/>
      <c r="DE846" s="109"/>
      <c r="DF846" s="109"/>
      <c r="DG846" s="110"/>
      <c r="DH846" s="109"/>
      <c r="DI846" s="111"/>
      <c r="DJ846" s="109"/>
      <c r="DK846" s="109"/>
      <c r="DL846" s="110"/>
      <c r="DM846" s="109"/>
      <c r="DN846" s="111"/>
      <c r="DO846" s="109"/>
      <c r="DP846" s="109"/>
      <c r="DQ846" s="110"/>
      <c r="DR846" s="109"/>
      <c r="DS846" s="111"/>
      <c r="DT846" s="109"/>
      <c r="DU846" s="109"/>
      <c r="DV846" s="110"/>
      <c r="DW846" s="109"/>
      <c r="DX846" s="111"/>
      <c r="DY846" s="109"/>
      <c r="DZ846" s="109"/>
      <c r="EA846" s="110"/>
      <c r="EB846" s="109"/>
      <c r="EC846" s="111"/>
      <c r="ED846" s="109"/>
      <c r="EE846" s="109"/>
      <c r="EF846" s="110"/>
      <c r="EG846" s="109"/>
      <c r="EH846" s="111"/>
      <c r="EI846" s="109"/>
      <c r="EJ846" s="109"/>
      <c r="EK846" s="110"/>
      <c r="EL846" s="109"/>
      <c r="EM846" s="111"/>
      <c r="EN846" s="109"/>
      <c r="EO846" s="109"/>
      <c r="EP846" s="110"/>
      <c r="EQ846" s="109"/>
      <c r="ER846" s="111"/>
      <c r="ES846" s="109"/>
      <c r="ET846" s="109"/>
      <c r="EU846" s="110"/>
      <c r="EV846" s="109"/>
      <c r="EW846" s="111"/>
      <c r="EX846" s="109"/>
      <c r="EY846" s="109"/>
      <c r="EZ846" s="110"/>
      <c r="FA846" s="109"/>
      <c r="FB846" s="111"/>
      <c r="FC846" s="109"/>
      <c r="FD846" s="109"/>
      <c r="FE846" s="110"/>
      <c r="FF846" s="109"/>
      <c r="FG846" s="111"/>
      <c r="FH846" s="109"/>
      <c r="FI846" s="109"/>
      <c r="FJ846" s="110"/>
      <c r="FK846" s="109"/>
      <c r="FL846" s="111"/>
      <c r="FM846" s="109"/>
      <c r="FN846" s="109"/>
      <c r="FO846" s="110"/>
      <c r="FP846" s="109"/>
      <c r="FQ846" s="111"/>
      <c r="FR846" s="109"/>
      <c r="FS846" s="109"/>
      <c r="FT846" s="110"/>
      <c r="FU846" s="109"/>
      <c r="FV846" s="111"/>
      <c r="FW846" s="109"/>
      <c r="FX846" s="109"/>
      <c r="FY846" s="110"/>
      <c r="FZ846" s="109"/>
      <c r="GA846" s="111"/>
      <c r="GB846" s="109"/>
      <c r="GC846" s="109"/>
      <c r="GD846" s="110"/>
      <c r="GE846" s="109"/>
      <c r="GF846" s="111"/>
      <c r="GG846" s="109"/>
      <c r="GH846" s="109"/>
      <c r="GI846" s="110"/>
      <c r="GJ846" s="109"/>
      <c r="GK846" s="111"/>
      <c r="GL846" s="109"/>
      <c r="GM846" s="109"/>
      <c r="GN846" s="110"/>
      <c r="GO846" s="109"/>
      <c r="GP846" s="111"/>
      <c r="GQ846" s="109"/>
      <c r="GR846" s="109"/>
      <c r="GS846" s="110"/>
      <c r="GT846" s="109"/>
      <c r="GU846" s="111"/>
      <c r="GV846" s="109"/>
      <c r="GW846" s="109"/>
      <c r="GX846" s="110"/>
      <c r="GY846" s="109"/>
      <c r="GZ846" s="111"/>
      <c r="HA846" s="109"/>
      <c r="HB846" s="109"/>
      <c r="HC846" s="110"/>
      <c r="HD846" s="109"/>
      <c r="HE846" s="111"/>
      <c r="HF846" s="109"/>
      <c r="HG846" s="109"/>
      <c r="HH846" s="110"/>
      <c r="HI846" s="109"/>
      <c r="HJ846" s="111"/>
      <c r="HK846" s="109"/>
      <c r="HL846" s="109"/>
      <c r="HM846" s="110"/>
      <c r="HN846" s="109"/>
      <c r="HO846" s="111"/>
      <c r="HP846" s="109"/>
      <c r="HQ846" s="109"/>
      <c r="HR846" s="110"/>
      <c r="HS846" s="109"/>
      <c r="HT846" s="111"/>
      <c r="HU846" s="109"/>
      <c r="HV846" s="109"/>
      <c r="HW846" s="110"/>
      <c r="HX846" s="109"/>
      <c r="HY846" s="111"/>
      <c r="HZ846" s="109"/>
      <c r="IA846" s="109"/>
      <c r="IB846" s="110"/>
      <c r="IC846" s="109"/>
      <c r="ID846" s="111"/>
      <c r="IE846" s="109"/>
      <c r="IF846" s="109"/>
      <c r="IG846" s="110"/>
      <c r="IH846" s="109"/>
      <c r="II846" s="111"/>
      <c r="IJ846" s="109"/>
      <c r="IK846" s="109"/>
      <c r="IL846" s="110"/>
      <c r="IM846" s="109"/>
      <c r="IN846" s="111"/>
      <c r="IO846" s="109"/>
      <c r="IP846" s="109"/>
      <c r="IQ846" s="110"/>
      <c r="IR846" s="109"/>
      <c r="IS846" s="111"/>
      <c r="IT846" s="109"/>
      <c r="IU846" s="109"/>
      <c r="IV846" s="110"/>
    </row>
    <row r="847" spans="1:256" s="123" customFormat="1" ht="14.25">
      <c r="A847" s="134">
        <v>37084</v>
      </c>
      <c r="B847" s="111">
        <v>47.2985</v>
      </c>
      <c r="C847" s="111">
        <f t="shared" si="14"/>
        <v>0.0472985</v>
      </c>
      <c r="D847" s="111">
        <v>26.8058</v>
      </c>
      <c r="E847" s="111">
        <v>31.1297</v>
      </c>
      <c r="F847" s="131"/>
      <c r="G847" s="109"/>
      <c r="H847" s="111"/>
      <c r="I847" s="109"/>
      <c r="J847" s="109"/>
      <c r="K847" s="110"/>
      <c r="L847" s="109"/>
      <c r="M847" s="111"/>
      <c r="N847" s="109"/>
      <c r="O847" s="109"/>
      <c r="P847" s="110"/>
      <c r="Q847" s="109"/>
      <c r="R847" s="111"/>
      <c r="S847" s="109"/>
      <c r="T847" s="109"/>
      <c r="U847" s="110"/>
      <c r="V847" s="109"/>
      <c r="W847" s="111"/>
      <c r="X847" s="109"/>
      <c r="Y847" s="109"/>
      <c r="Z847" s="110"/>
      <c r="AA847" s="109"/>
      <c r="AB847" s="111"/>
      <c r="AC847" s="109"/>
      <c r="AD847" s="109"/>
      <c r="AE847" s="110"/>
      <c r="AF847" s="109"/>
      <c r="AG847" s="111"/>
      <c r="AH847" s="109"/>
      <c r="AI847" s="109"/>
      <c r="AJ847" s="110"/>
      <c r="AK847" s="109"/>
      <c r="AL847" s="111"/>
      <c r="AM847" s="109"/>
      <c r="AN847" s="109"/>
      <c r="AO847" s="110"/>
      <c r="AP847" s="109"/>
      <c r="AQ847" s="111"/>
      <c r="AR847" s="109"/>
      <c r="AS847" s="109"/>
      <c r="AT847" s="110"/>
      <c r="AU847" s="109"/>
      <c r="AV847" s="111"/>
      <c r="AW847" s="109"/>
      <c r="AX847" s="109"/>
      <c r="AY847" s="110"/>
      <c r="AZ847" s="109"/>
      <c r="BA847" s="111"/>
      <c r="BB847" s="109"/>
      <c r="BC847" s="109"/>
      <c r="BD847" s="110"/>
      <c r="BE847" s="109"/>
      <c r="BF847" s="111"/>
      <c r="BG847" s="109"/>
      <c r="BH847" s="109"/>
      <c r="BI847" s="110"/>
      <c r="BJ847" s="109"/>
      <c r="BK847" s="111"/>
      <c r="BL847" s="109"/>
      <c r="BM847" s="109"/>
      <c r="BN847" s="110"/>
      <c r="BO847" s="109"/>
      <c r="BP847" s="111"/>
      <c r="BQ847" s="109"/>
      <c r="BR847" s="109"/>
      <c r="BS847" s="110"/>
      <c r="BT847" s="109"/>
      <c r="BU847" s="111"/>
      <c r="BV847" s="109"/>
      <c r="BW847" s="109"/>
      <c r="BX847" s="110"/>
      <c r="BY847" s="109"/>
      <c r="BZ847" s="111"/>
      <c r="CA847" s="109"/>
      <c r="CB847" s="109"/>
      <c r="CC847" s="110"/>
      <c r="CD847" s="109"/>
      <c r="CE847" s="111"/>
      <c r="CF847" s="109"/>
      <c r="CG847" s="109"/>
      <c r="CH847" s="110"/>
      <c r="CI847" s="109"/>
      <c r="CJ847" s="111"/>
      <c r="CK847" s="109"/>
      <c r="CL847" s="109"/>
      <c r="CM847" s="110"/>
      <c r="CN847" s="109"/>
      <c r="CO847" s="111"/>
      <c r="CP847" s="109"/>
      <c r="CQ847" s="109"/>
      <c r="CR847" s="110"/>
      <c r="CS847" s="109"/>
      <c r="CT847" s="111"/>
      <c r="CU847" s="109"/>
      <c r="CV847" s="109"/>
      <c r="CW847" s="110"/>
      <c r="CX847" s="109"/>
      <c r="CY847" s="111"/>
      <c r="CZ847" s="109"/>
      <c r="DA847" s="109"/>
      <c r="DB847" s="110"/>
      <c r="DC847" s="109"/>
      <c r="DD847" s="111"/>
      <c r="DE847" s="109"/>
      <c r="DF847" s="109"/>
      <c r="DG847" s="110"/>
      <c r="DH847" s="109"/>
      <c r="DI847" s="111"/>
      <c r="DJ847" s="109"/>
      <c r="DK847" s="109"/>
      <c r="DL847" s="110"/>
      <c r="DM847" s="109"/>
      <c r="DN847" s="111"/>
      <c r="DO847" s="109"/>
      <c r="DP847" s="109"/>
      <c r="DQ847" s="110"/>
      <c r="DR847" s="109"/>
      <c r="DS847" s="111"/>
      <c r="DT847" s="109"/>
      <c r="DU847" s="109"/>
      <c r="DV847" s="110"/>
      <c r="DW847" s="109"/>
      <c r="DX847" s="111"/>
      <c r="DY847" s="109"/>
      <c r="DZ847" s="109"/>
      <c r="EA847" s="110"/>
      <c r="EB847" s="109"/>
      <c r="EC847" s="111"/>
      <c r="ED847" s="109"/>
      <c r="EE847" s="109"/>
      <c r="EF847" s="110"/>
      <c r="EG847" s="109"/>
      <c r="EH847" s="111"/>
      <c r="EI847" s="109"/>
      <c r="EJ847" s="109"/>
      <c r="EK847" s="110"/>
      <c r="EL847" s="109"/>
      <c r="EM847" s="111"/>
      <c r="EN847" s="109"/>
      <c r="EO847" s="109"/>
      <c r="EP847" s="110"/>
      <c r="EQ847" s="109"/>
      <c r="ER847" s="111"/>
      <c r="ES847" s="109"/>
      <c r="ET847" s="109"/>
      <c r="EU847" s="110"/>
      <c r="EV847" s="109"/>
      <c r="EW847" s="111"/>
      <c r="EX847" s="109"/>
      <c r="EY847" s="109"/>
      <c r="EZ847" s="110"/>
      <c r="FA847" s="109"/>
      <c r="FB847" s="111"/>
      <c r="FC847" s="109"/>
      <c r="FD847" s="109"/>
      <c r="FE847" s="110"/>
      <c r="FF847" s="109"/>
      <c r="FG847" s="111"/>
      <c r="FH847" s="109"/>
      <c r="FI847" s="109"/>
      <c r="FJ847" s="110"/>
      <c r="FK847" s="109"/>
      <c r="FL847" s="111"/>
      <c r="FM847" s="109"/>
      <c r="FN847" s="109"/>
      <c r="FO847" s="110"/>
      <c r="FP847" s="109"/>
      <c r="FQ847" s="111"/>
      <c r="FR847" s="109"/>
      <c r="FS847" s="109"/>
      <c r="FT847" s="110"/>
      <c r="FU847" s="109"/>
      <c r="FV847" s="111"/>
      <c r="FW847" s="109"/>
      <c r="FX847" s="109"/>
      <c r="FY847" s="110"/>
      <c r="FZ847" s="109"/>
      <c r="GA847" s="111"/>
      <c r="GB847" s="109"/>
      <c r="GC847" s="109"/>
      <c r="GD847" s="110"/>
      <c r="GE847" s="109"/>
      <c r="GF847" s="111"/>
      <c r="GG847" s="109"/>
      <c r="GH847" s="109"/>
      <c r="GI847" s="110"/>
      <c r="GJ847" s="109"/>
      <c r="GK847" s="111"/>
      <c r="GL847" s="109"/>
      <c r="GM847" s="109"/>
      <c r="GN847" s="110"/>
      <c r="GO847" s="109"/>
      <c r="GP847" s="111"/>
      <c r="GQ847" s="109"/>
      <c r="GR847" s="109"/>
      <c r="GS847" s="110"/>
      <c r="GT847" s="109"/>
      <c r="GU847" s="111"/>
      <c r="GV847" s="109"/>
      <c r="GW847" s="109"/>
      <c r="GX847" s="110"/>
      <c r="GY847" s="109"/>
      <c r="GZ847" s="111"/>
      <c r="HA847" s="109"/>
      <c r="HB847" s="109"/>
      <c r="HC847" s="110"/>
      <c r="HD847" s="109"/>
      <c r="HE847" s="111"/>
      <c r="HF847" s="109"/>
      <c r="HG847" s="109"/>
      <c r="HH847" s="110"/>
      <c r="HI847" s="109"/>
      <c r="HJ847" s="111"/>
      <c r="HK847" s="109"/>
      <c r="HL847" s="109"/>
      <c r="HM847" s="110"/>
      <c r="HN847" s="109"/>
      <c r="HO847" s="111"/>
      <c r="HP847" s="109"/>
      <c r="HQ847" s="109"/>
      <c r="HR847" s="110"/>
      <c r="HS847" s="109"/>
      <c r="HT847" s="111"/>
      <c r="HU847" s="109"/>
      <c r="HV847" s="109"/>
      <c r="HW847" s="110"/>
      <c r="HX847" s="109"/>
      <c r="HY847" s="111"/>
      <c r="HZ847" s="109"/>
      <c r="IA847" s="109"/>
      <c r="IB847" s="110"/>
      <c r="IC847" s="109"/>
      <c r="ID847" s="111"/>
      <c r="IE847" s="109"/>
      <c r="IF847" s="109"/>
      <c r="IG847" s="110"/>
      <c r="IH847" s="109"/>
      <c r="II847" s="111"/>
      <c r="IJ847" s="109"/>
      <c r="IK847" s="109"/>
      <c r="IL847" s="110"/>
      <c r="IM847" s="109"/>
      <c r="IN847" s="111"/>
      <c r="IO847" s="109"/>
      <c r="IP847" s="109"/>
      <c r="IQ847" s="110"/>
      <c r="IR847" s="109"/>
      <c r="IS847" s="111"/>
      <c r="IT847" s="109"/>
      <c r="IU847" s="109"/>
      <c r="IV847" s="110"/>
    </row>
    <row r="848" spans="1:256" s="123" customFormat="1" ht="14.25">
      <c r="A848" s="134">
        <v>37085</v>
      </c>
      <c r="B848" s="111">
        <v>45.8866</v>
      </c>
      <c r="C848" s="111">
        <f t="shared" si="14"/>
        <v>0.0458866</v>
      </c>
      <c r="D848" s="111">
        <v>25.8806</v>
      </c>
      <c r="E848" s="111">
        <v>30.3122</v>
      </c>
      <c r="F848" s="131"/>
      <c r="G848" s="109"/>
      <c r="H848" s="111"/>
      <c r="I848" s="109"/>
      <c r="J848" s="109"/>
      <c r="K848" s="110"/>
      <c r="L848" s="109"/>
      <c r="M848" s="111"/>
      <c r="N848" s="109"/>
      <c r="O848" s="109"/>
      <c r="P848" s="110"/>
      <c r="Q848" s="109"/>
      <c r="R848" s="111"/>
      <c r="S848" s="109"/>
      <c r="T848" s="109"/>
      <c r="U848" s="110"/>
      <c r="V848" s="109"/>
      <c r="W848" s="111"/>
      <c r="X848" s="109"/>
      <c r="Y848" s="109"/>
      <c r="Z848" s="110"/>
      <c r="AA848" s="109"/>
      <c r="AB848" s="111"/>
      <c r="AC848" s="109"/>
      <c r="AD848" s="109"/>
      <c r="AE848" s="110"/>
      <c r="AF848" s="109"/>
      <c r="AG848" s="111"/>
      <c r="AH848" s="109"/>
      <c r="AI848" s="109"/>
      <c r="AJ848" s="110"/>
      <c r="AK848" s="109"/>
      <c r="AL848" s="111"/>
      <c r="AM848" s="109"/>
      <c r="AN848" s="109"/>
      <c r="AO848" s="110"/>
      <c r="AP848" s="109"/>
      <c r="AQ848" s="111"/>
      <c r="AR848" s="109"/>
      <c r="AS848" s="109"/>
      <c r="AT848" s="110"/>
      <c r="AU848" s="109"/>
      <c r="AV848" s="111"/>
      <c r="AW848" s="109"/>
      <c r="AX848" s="109"/>
      <c r="AY848" s="110"/>
      <c r="AZ848" s="109"/>
      <c r="BA848" s="111"/>
      <c r="BB848" s="109"/>
      <c r="BC848" s="109"/>
      <c r="BD848" s="110"/>
      <c r="BE848" s="109"/>
      <c r="BF848" s="111"/>
      <c r="BG848" s="109"/>
      <c r="BH848" s="109"/>
      <c r="BI848" s="110"/>
      <c r="BJ848" s="109"/>
      <c r="BK848" s="111"/>
      <c r="BL848" s="109"/>
      <c r="BM848" s="109"/>
      <c r="BN848" s="110"/>
      <c r="BO848" s="109"/>
      <c r="BP848" s="111"/>
      <c r="BQ848" s="109"/>
      <c r="BR848" s="109"/>
      <c r="BS848" s="110"/>
      <c r="BT848" s="109"/>
      <c r="BU848" s="111"/>
      <c r="BV848" s="109"/>
      <c r="BW848" s="109"/>
      <c r="BX848" s="110"/>
      <c r="BY848" s="109"/>
      <c r="BZ848" s="111"/>
      <c r="CA848" s="109"/>
      <c r="CB848" s="109"/>
      <c r="CC848" s="110"/>
      <c r="CD848" s="109"/>
      <c r="CE848" s="111"/>
      <c r="CF848" s="109"/>
      <c r="CG848" s="109"/>
      <c r="CH848" s="110"/>
      <c r="CI848" s="109"/>
      <c r="CJ848" s="111"/>
      <c r="CK848" s="109"/>
      <c r="CL848" s="109"/>
      <c r="CM848" s="110"/>
      <c r="CN848" s="109"/>
      <c r="CO848" s="111"/>
      <c r="CP848" s="109"/>
      <c r="CQ848" s="109"/>
      <c r="CR848" s="110"/>
      <c r="CS848" s="109"/>
      <c r="CT848" s="111"/>
      <c r="CU848" s="109"/>
      <c r="CV848" s="109"/>
      <c r="CW848" s="110"/>
      <c r="CX848" s="109"/>
      <c r="CY848" s="111"/>
      <c r="CZ848" s="109"/>
      <c r="DA848" s="109"/>
      <c r="DB848" s="110"/>
      <c r="DC848" s="109"/>
      <c r="DD848" s="111"/>
      <c r="DE848" s="109"/>
      <c r="DF848" s="109"/>
      <c r="DG848" s="110"/>
      <c r="DH848" s="109"/>
      <c r="DI848" s="111"/>
      <c r="DJ848" s="109"/>
      <c r="DK848" s="109"/>
      <c r="DL848" s="110"/>
      <c r="DM848" s="109"/>
      <c r="DN848" s="111"/>
      <c r="DO848" s="109"/>
      <c r="DP848" s="109"/>
      <c r="DQ848" s="110"/>
      <c r="DR848" s="109"/>
      <c r="DS848" s="111"/>
      <c r="DT848" s="109"/>
      <c r="DU848" s="109"/>
      <c r="DV848" s="110"/>
      <c r="DW848" s="109"/>
      <c r="DX848" s="111"/>
      <c r="DY848" s="109"/>
      <c r="DZ848" s="109"/>
      <c r="EA848" s="110"/>
      <c r="EB848" s="109"/>
      <c r="EC848" s="111"/>
      <c r="ED848" s="109"/>
      <c r="EE848" s="109"/>
      <c r="EF848" s="110"/>
      <c r="EG848" s="109"/>
      <c r="EH848" s="111"/>
      <c r="EI848" s="109"/>
      <c r="EJ848" s="109"/>
      <c r="EK848" s="110"/>
      <c r="EL848" s="109"/>
      <c r="EM848" s="111"/>
      <c r="EN848" s="109"/>
      <c r="EO848" s="109"/>
      <c r="EP848" s="110"/>
      <c r="EQ848" s="109"/>
      <c r="ER848" s="111"/>
      <c r="ES848" s="109"/>
      <c r="ET848" s="109"/>
      <c r="EU848" s="110"/>
      <c r="EV848" s="109"/>
      <c r="EW848" s="111"/>
      <c r="EX848" s="109"/>
      <c r="EY848" s="109"/>
      <c r="EZ848" s="110"/>
      <c r="FA848" s="109"/>
      <c r="FB848" s="111"/>
      <c r="FC848" s="109"/>
      <c r="FD848" s="109"/>
      <c r="FE848" s="110"/>
      <c r="FF848" s="109"/>
      <c r="FG848" s="111"/>
      <c r="FH848" s="109"/>
      <c r="FI848" s="109"/>
      <c r="FJ848" s="110"/>
      <c r="FK848" s="109"/>
      <c r="FL848" s="111"/>
      <c r="FM848" s="109"/>
      <c r="FN848" s="109"/>
      <c r="FO848" s="110"/>
      <c r="FP848" s="109"/>
      <c r="FQ848" s="111"/>
      <c r="FR848" s="109"/>
      <c r="FS848" s="109"/>
      <c r="FT848" s="110"/>
      <c r="FU848" s="109"/>
      <c r="FV848" s="111"/>
      <c r="FW848" s="109"/>
      <c r="FX848" s="109"/>
      <c r="FY848" s="110"/>
      <c r="FZ848" s="109"/>
      <c r="GA848" s="111"/>
      <c r="GB848" s="109"/>
      <c r="GC848" s="109"/>
      <c r="GD848" s="110"/>
      <c r="GE848" s="109"/>
      <c r="GF848" s="111"/>
      <c r="GG848" s="109"/>
      <c r="GH848" s="109"/>
      <c r="GI848" s="110"/>
      <c r="GJ848" s="109"/>
      <c r="GK848" s="111"/>
      <c r="GL848" s="109"/>
      <c r="GM848" s="109"/>
      <c r="GN848" s="110"/>
      <c r="GO848" s="109"/>
      <c r="GP848" s="111"/>
      <c r="GQ848" s="109"/>
      <c r="GR848" s="109"/>
      <c r="GS848" s="110"/>
      <c r="GT848" s="109"/>
      <c r="GU848" s="111"/>
      <c r="GV848" s="109"/>
      <c r="GW848" s="109"/>
      <c r="GX848" s="110"/>
      <c r="GY848" s="109"/>
      <c r="GZ848" s="111"/>
      <c r="HA848" s="109"/>
      <c r="HB848" s="109"/>
      <c r="HC848" s="110"/>
      <c r="HD848" s="109"/>
      <c r="HE848" s="111"/>
      <c r="HF848" s="109"/>
      <c r="HG848" s="109"/>
      <c r="HH848" s="110"/>
      <c r="HI848" s="109"/>
      <c r="HJ848" s="111"/>
      <c r="HK848" s="109"/>
      <c r="HL848" s="109"/>
      <c r="HM848" s="110"/>
      <c r="HN848" s="109"/>
      <c r="HO848" s="111"/>
      <c r="HP848" s="109"/>
      <c r="HQ848" s="109"/>
      <c r="HR848" s="110"/>
      <c r="HS848" s="109"/>
      <c r="HT848" s="111"/>
      <c r="HU848" s="109"/>
      <c r="HV848" s="109"/>
      <c r="HW848" s="110"/>
      <c r="HX848" s="109"/>
      <c r="HY848" s="111"/>
      <c r="HZ848" s="109"/>
      <c r="IA848" s="109"/>
      <c r="IB848" s="110"/>
      <c r="IC848" s="109"/>
      <c r="ID848" s="111"/>
      <c r="IE848" s="109"/>
      <c r="IF848" s="109"/>
      <c r="IG848" s="110"/>
      <c r="IH848" s="109"/>
      <c r="II848" s="111"/>
      <c r="IJ848" s="109"/>
      <c r="IK848" s="109"/>
      <c r="IL848" s="110"/>
      <c r="IM848" s="109"/>
      <c r="IN848" s="111"/>
      <c r="IO848" s="109"/>
      <c r="IP848" s="109"/>
      <c r="IQ848" s="110"/>
      <c r="IR848" s="109"/>
      <c r="IS848" s="111"/>
      <c r="IT848" s="109"/>
      <c r="IU848" s="109"/>
      <c r="IV848" s="110"/>
    </row>
    <row r="849" spans="1:256" s="123" customFormat="1" ht="14.25">
      <c r="A849" s="134">
        <v>37088</v>
      </c>
      <c r="B849" s="111">
        <v>46.5893</v>
      </c>
      <c r="C849" s="111">
        <f t="shared" si="14"/>
        <v>0.0465893</v>
      </c>
      <c r="D849" s="111">
        <v>26.3147</v>
      </c>
      <c r="E849" s="111">
        <v>30.8171</v>
      </c>
      <c r="F849" s="131"/>
      <c r="G849" s="109"/>
      <c r="H849" s="111"/>
      <c r="I849" s="109"/>
      <c r="J849" s="109"/>
      <c r="K849" s="110"/>
      <c r="L849" s="109"/>
      <c r="M849" s="111"/>
      <c r="N849" s="109"/>
      <c r="O849" s="109"/>
      <c r="P849" s="110"/>
      <c r="Q849" s="109"/>
      <c r="R849" s="111"/>
      <c r="S849" s="109"/>
      <c r="T849" s="109"/>
      <c r="U849" s="110"/>
      <c r="V849" s="109"/>
      <c r="W849" s="111"/>
      <c r="X849" s="109"/>
      <c r="Y849" s="109"/>
      <c r="Z849" s="110"/>
      <c r="AA849" s="109"/>
      <c r="AB849" s="111"/>
      <c r="AC849" s="109"/>
      <c r="AD849" s="109"/>
      <c r="AE849" s="110"/>
      <c r="AF849" s="109"/>
      <c r="AG849" s="111"/>
      <c r="AH849" s="109"/>
      <c r="AI849" s="109"/>
      <c r="AJ849" s="110"/>
      <c r="AK849" s="109"/>
      <c r="AL849" s="111"/>
      <c r="AM849" s="109"/>
      <c r="AN849" s="109"/>
      <c r="AO849" s="110"/>
      <c r="AP849" s="109"/>
      <c r="AQ849" s="111"/>
      <c r="AR849" s="109"/>
      <c r="AS849" s="109"/>
      <c r="AT849" s="110"/>
      <c r="AU849" s="109"/>
      <c r="AV849" s="111"/>
      <c r="AW849" s="109"/>
      <c r="AX849" s="109"/>
      <c r="AY849" s="110"/>
      <c r="AZ849" s="109"/>
      <c r="BA849" s="111"/>
      <c r="BB849" s="109"/>
      <c r="BC849" s="109"/>
      <c r="BD849" s="110"/>
      <c r="BE849" s="109"/>
      <c r="BF849" s="111"/>
      <c r="BG849" s="109"/>
      <c r="BH849" s="109"/>
      <c r="BI849" s="110"/>
      <c r="BJ849" s="109"/>
      <c r="BK849" s="111"/>
      <c r="BL849" s="109"/>
      <c r="BM849" s="109"/>
      <c r="BN849" s="110"/>
      <c r="BO849" s="109"/>
      <c r="BP849" s="111"/>
      <c r="BQ849" s="109"/>
      <c r="BR849" s="109"/>
      <c r="BS849" s="110"/>
      <c r="BT849" s="109"/>
      <c r="BU849" s="111"/>
      <c r="BV849" s="109"/>
      <c r="BW849" s="109"/>
      <c r="BX849" s="110"/>
      <c r="BY849" s="109"/>
      <c r="BZ849" s="111"/>
      <c r="CA849" s="109"/>
      <c r="CB849" s="109"/>
      <c r="CC849" s="110"/>
      <c r="CD849" s="109"/>
      <c r="CE849" s="111"/>
      <c r="CF849" s="109"/>
      <c r="CG849" s="109"/>
      <c r="CH849" s="110"/>
      <c r="CI849" s="109"/>
      <c r="CJ849" s="111"/>
      <c r="CK849" s="109"/>
      <c r="CL849" s="109"/>
      <c r="CM849" s="110"/>
      <c r="CN849" s="109"/>
      <c r="CO849" s="111"/>
      <c r="CP849" s="109"/>
      <c r="CQ849" s="109"/>
      <c r="CR849" s="110"/>
      <c r="CS849" s="109"/>
      <c r="CT849" s="111"/>
      <c r="CU849" s="109"/>
      <c r="CV849" s="109"/>
      <c r="CW849" s="110"/>
      <c r="CX849" s="109"/>
      <c r="CY849" s="111"/>
      <c r="CZ849" s="109"/>
      <c r="DA849" s="109"/>
      <c r="DB849" s="110"/>
      <c r="DC849" s="109"/>
      <c r="DD849" s="111"/>
      <c r="DE849" s="109"/>
      <c r="DF849" s="109"/>
      <c r="DG849" s="110"/>
      <c r="DH849" s="109"/>
      <c r="DI849" s="111"/>
      <c r="DJ849" s="109"/>
      <c r="DK849" s="109"/>
      <c r="DL849" s="110"/>
      <c r="DM849" s="109"/>
      <c r="DN849" s="111"/>
      <c r="DO849" s="109"/>
      <c r="DP849" s="109"/>
      <c r="DQ849" s="110"/>
      <c r="DR849" s="109"/>
      <c r="DS849" s="111"/>
      <c r="DT849" s="109"/>
      <c r="DU849" s="109"/>
      <c r="DV849" s="110"/>
      <c r="DW849" s="109"/>
      <c r="DX849" s="111"/>
      <c r="DY849" s="109"/>
      <c r="DZ849" s="109"/>
      <c r="EA849" s="110"/>
      <c r="EB849" s="109"/>
      <c r="EC849" s="111"/>
      <c r="ED849" s="109"/>
      <c r="EE849" s="109"/>
      <c r="EF849" s="110"/>
      <c r="EG849" s="109"/>
      <c r="EH849" s="111"/>
      <c r="EI849" s="109"/>
      <c r="EJ849" s="109"/>
      <c r="EK849" s="110"/>
      <c r="EL849" s="109"/>
      <c r="EM849" s="111"/>
      <c r="EN849" s="109"/>
      <c r="EO849" s="109"/>
      <c r="EP849" s="110"/>
      <c r="EQ849" s="109"/>
      <c r="ER849" s="111"/>
      <c r="ES849" s="109"/>
      <c r="ET849" s="109"/>
      <c r="EU849" s="110"/>
      <c r="EV849" s="109"/>
      <c r="EW849" s="111"/>
      <c r="EX849" s="109"/>
      <c r="EY849" s="109"/>
      <c r="EZ849" s="110"/>
      <c r="FA849" s="109"/>
      <c r="FB849" s="111"/>
      <c r="FC849" s="109"/>
      <c r="FD849" s="109"/>
      <c r="FE849" s="110"/>
      <c r="FF849" s="109"/>
      <c r="FG849" s="111"/>
      <c r="FH849" s="109"/>
      <c r="FI849" s="109"/>
      <c r="FJ849" s="110"/>
      <c r="FK849" s="109"/>
      <c r="FL849" s="111"/>
      <c r="FM849" s="109"/>
      <c r="FN849" s="109"/>
      <c r="FO849" s="110"/>
      <c r="FP849" s="109"/>
      <c r="FQ849" s="111"/>
      <c r="FR849" s="109"/>
      <c r="FS849" s="109"/>
      <c r="FT849" s="110"/>
      <c r="FU849" s="109"/>
      <c r="FV849" s="111"/>
      <c r="FW849" s="109"/>
      <c r="FX849" s="109"/>
      <c r="FY849" s="110"/>
      <c r="FZ849" s="109"/>
      <c r="GA849" s="111"/>
      <c r="GB849" s="109"/>
      <c r="GC849" s="109"/>
      <c r="GD849" s="110"/>
      <c r="GE849" s="109"/>
      <c r="GF849" s="111"/>
      <c r="GG849" s="109"/>
      <c r="GH849" s="109"/>
      <c r="GI849" s="110"/>
      <c r="GJ849" s="109"/>
      <c r="GK849" s="111"/>
      <c r="GL849" s="109"/>
      <c r="GM849" s="109"/>
      <c r="GN849" s="110"/>
      <c r="GO849" s="109"/>
      <c r="GP849" s="111"/>
      <c r="GQ849" s="109"/>
      <c r="GR849" s="109"/>
      <c r="GS849" s="110"/>
      <c r="GT849" s="109"/>
      <c r="GU849" s="111"/>
      <c r="GV849" s="109"/>
      <c r="GW849" s="109"/>
      <c r="GX849" s="110"/>
      <c r="GY849" s="109"/>
      <c r="GZ849" s="111"/>
      <c r="HA849" s="109"/>
      <c r="HB849" s="109"/>
      <c r="HC849" s="110"/>
      <c r="HD849" s="109"/>
      <c r="HE849" s="111"/>
      <c r="HF849" s="109"/>
      <c r="HG849" s="109"/>
      <c r="HH849" s="110"/>
      <c r="HI849" s="109"/>
      <c r="HJ849" s="111"/>
      <c r="HK849" s="109"/>
      <c r="HL849" s="109"/>
      <c r="HM849" s="110"/>
      <c r="HN849" s="109"/>
      <c r="HO849" s="111"/>
      <c r="HP849" s="109"/>
      <c r="HQ849" s="109"/>
      <c r="HR849" s="110"/>
      <c r="HS849" s="109"/>
      <c r="HT849" s="111"/>
      <c r="HU849" s="109"/>
      <c r="HV849" s="109"/>
      <c r="HW849" s="110"/>
      <c r="HX849" s="109"/>
      <c r="HY849" s="111"/>
      <c r="HZ849" s="109"/>
      <c r="IA849" s="109"/>
      <c r="IB849" s="110"/>
      <c r="IC849" s="109"/>
      <c r="ID849" s="111"/>
      <c r="IE849" s="109"/>
      <c r="IF849" s="109"/>
      <c r="IG849" s="110"/>
      <c r="IH849" s="109"/>
      <c r="II849" s="111"/>
      <c r="IJ849" s="109"/>
      <c r="IK849" s="109"/>
      <c r="IL849" s="110"/>
      <c r="IM849" s="109"/>
      <c r="IN849" s="111"/>
      <c r="IO849" s="109"/>
      <c r="IP849" s="109"/>
      <c r="IQ849" s="110"/>
      <c r="IR849" s="109"/>
      <c r="IS849" s="111"/>
      <c r="IT849" s="109"/>
      <c r="IU849" s="109"/>
      <c r="IV849" s="110"/>
    </row>
    <row r="850" spans="1:256" s="123" customFormat="1" ht="14.25">
      <c r="A850" s="134">
        <v>37089</v>
      </c>
      <c r="B850" s="111">
        <v>45.7561</v>
      </c>
      <c r="C850" s="111">
        <f t="shared" si="14"/>
        <v>0.04575610000000001</v>
      </c>
      <c r="D850" s="111">
        <v>25.9481</v>
      </c>
      <c r="E850" s="111">
        <v>30.232</v>
      </c>
      <c r="F850" s="131"/>
      <c r="G850" s="109"/>
      <c r="H850" s="111"/>
      <c r="I850" s="109"/>
      <c r="J850" s="109"/>
      <c r="K850" s="110"/>
      <c r="L850" s="109"/>
      <c r="M850" s="111"/>
      <c r="N850" s="109"/>
      <c r="O850" s="109"/>
      <c r="P850" s="110"/>
      <c r="Q850" s="109"/>
      <c r="R850" s="111"/>
      <c r="S850" s="109"/>
      <c r="T850" s="109"/>
      <c r="U850" s="110"/>
      <c r="V850" s="109"/>
      <c r="W850" s="111"/>
      <c r="X850" s="109"/>
      <c r="Y850" s="109"/>
      <c r="Z850" s="110"/>
      <c r="AA850" s="109"/>
      <c r="AB850" s="111"/>
      <c r="AC850" s="109"/>
      <c r="AD850" s="109"/>
      <c r="AE850" s="110"/>
      <c r="AF850" s="109"/>
      <c r="AG850" s="111"/>
      <c r="AH850" s="109"/>
      <c r="AI850" s="109"/>
      <c r="AJ850" s="110"/>
      <c r="AK850" s="109"/>
      <c r="AL850" s="111"/>
      <c r="AM850" s="109"/>
      <c r="AN850" s="109"/>
      <c r="AO850" s="110"/>
      <c r="AP850" s="109"/>
      <c r="AQ850" s="111"/>
      <c r="AR850" s="109"/>
      <c r="AS850" s="109"/>
      <c r="AT850" s="110"/>
      <c r="AU850" s="109"/>
      <c r="AV850" s="111"/>
      <c r="AW850" s="109"/>
      <c r="AX850" s="109"/>
      <c r="AY850" s="110"/>
      <c r="AZ850" s="109"/>
      <c r="BA850" s="111"/>
      <c r="BB850" s="109"/>
      <c r="BC850" s="109"/>
      <c r="BD850" s="110"/>
      <c r="BE850" s="109"/>
      <c r="BF850" s="111"/>
      <c r="BG850" s="109"/>
      <c r="BH850" s="109"/>
      <c r="BI850" s="110"/>
      <c r="BJ850" s="109"/>
      <c r="BK850" s="111"/>
      <c r="BL850" s="109"/>
      <c r="BM850" s="109"/>
      <c r="BN850" s="110"/>
      <c r="BO850" s="109"/>
      <c r="BP850" s="111"/>
      <c r="BQ850" s="109"/>
      <c r="BR850" s="109"/>
      <c r="BS850" s="110"/>
      <c r="BT850" s="109"/>
      <c r="BU850" s="111"/>
      <c r="BV850" s="109"/>
      <c r="BW850" s="109"/>
      <c r="BX850" s="110"/>
      <c r="BY850" s="109"/>
      <c r="BZ850" s="111"/>
      <c r="CA850" s="109"/>
      <c r="CB850" s="109"/>
      <c r="CC850" s="110"/>
      <c r="CD850" s="109"/>
      <c r="CE850" s="111"/>
      <c r="CF850" s="109"/>
      <c r="CG850" s="109"/>
      <c r="CH850" s="110"/>
      <c r="CI850" s="109"/>
      <c r="CJ850" s="111"/>
      <c r="CK850" s="109"/>
      <c r="CL850" s="109"/>
      <c r="CM850" s="110"/>
      <c r="CN850" s="109"/>
      <c r="CO850" s="111"/>
      <c r="CP850" s="109"/>
      <c r="CQ850" s="109"/>
      <c r="CR850" s="110"/>
      <c r="CS850" s="109"/>
      <c r="CT850" s="111"/>
      <c r="CU850" s="109"/>
      <c r="CV850" s="109"/>
      <c r="CW850" s="110"/>
      <c r="CX850" s="109"/>
      <c r="CY850" s="111"/>
      <c r="CZ850" s="109"/>
      <c r="DA850" s="109"/>
      <c r="DB850" s="110"/>
      <c r="DC850" s="109"/>
      <c r="DD850" s="111"/>
      <c r="DE850" s="109"/>
      <c r="DF850" s="109"/>
      <c r="DG850" s="110"/>
      <c r="DH850" s="109"/>
      <c r="DI850" s="111"/>
      <c r="DJ850" s="109"/>
      <c r="DK850" s="109"/>
      <c r="DL850" s="110"/>
      <c r="DM850" s="109"/>
      <c r="DN850" s="111"/>
      <c r="DO850" s="109"/>
      <c r="DP850" s="109"/>
      <c r="DQ850" s="110"/>
      <c r="DR850" s="109"/>
      <c r="DS850" s="111"/>
      <c r="DT850" s="109"/>
      <c r="DU850" s="109"/>
      <c r="DV850" s="110"/>
      <c r="DW850" s="109"/>
      <c r="DX850" s="111"/>
      <c r="DY850" s="109"/>
      <c r="DZ850" s="109"/>
      <c r="EA850" s="110"/>
      <c r="EB850" s="109"/>
      <c r="EC850" s="111"/>
      <c r="ED850" s="109"/>
      <c r="EE850" s="109"/>
      <c r="EF850" s="110"/>
      <c r="EG850" s="109"/>
      <c r="EH850" s="111"/>
      <c r="EI850" s="109"/>
      <c r="EJ850" s="109"/>
      <c r="EK850" s="110"/>
      <c r="EL850" s="109"/>
      <c r="EM850" s="111"/>
      <c r="EN850" s="109"/>
      <c r="EO850" s="109"/>
      <c r="EP850" s="110"/>
      <c r="EQ850" s="109"/>
      <c r="ER850" s="111"/>
      <c r="ES850" s="109"/>
      <c r="ET850" s="109"/>
      <c r="EU850" s="110"/>
      <c r="EV850" s="109"/>
      <c r="EW850" s="111"/>
      <c r="EX850" s="109"/>
      <c r="EY850" s="109"/>
      <c r="EZ850" s="110"/>
      <c r="FA850" s="109"/>
      <c r="FB850" s="111"/>
      <c r="FC850" s="109"/>
      <c r="FD850" s="109"/>
      <c r="FE850" s="110"/>
      <c r="FF850" s="109"/>
      <c r="FG850" s="111"/>
      <c r="FH850" s="109"/>
      <c r="FI850" s="109"/>
      <c r="FJ850" s="110"/>
      <c r="FK850" s="109"/>
      <c r="FL850" s="111"/>
      <c r="FM850" s="109"/>
      <c r="FN850" s="109"/>
      <c r="FO850" s="110"/>
      <c r="FP850" s="109"/>
      <c r="FQ850" s="111"/>
      <c r="FR850" s="109"/>
      <c r="FS850" s="109"/>
      <c r="FT850" s="110"/>
      <c r="FU850" s="109"/>
      <c r="FV850" s="111"/>
      <c r="FW850" s="109"/>
      <c r="FX850" s="109"/>
      <c r="FY850" s="110"/>
      <c r="FZ850" s="109"/>
      <c r="GA850" s="111"/>
      <c r="GB850" s="109"/>
      <c r="GC850" s="109"/>
      <c r="GD850" s="110"/>
      <c r="GE850" s="109"/>
      <c r="GF850" s="111"/>
      <c r="GG850" s="109"/>
      <c r="GH850" s="109"/>
      <c r="GI850" s="110"/>
      <c r="GJ850" s="109"/>
      <c r="GK850" s="111"/>
      <c r="GL850" s="109"/>
      <c r="GM850" s="109"/>
      <c r="GN850" s="110"/>
      <c r="GO850" s="109"/>
      <c r="GP850" s="111"/>
      <c r="GQ850" s="109"/>
      <c r="GR850" s="109"/>
      <c r="GS850" s="110"/>
      <c r="GT850" s="109"/>
      <c r="GU850" s="111"/>
      <c r="GV850" s="109"/>
      <c r="GW850" s="109"/>
      <c r="GX850" s="110"/>
      <c r="GY850" s="109"/>
      <c r="GZ850" s="111"/>
      <c r="HA850" s="109"/>
      <c r="HB850" s="109"/>
      <c r="HC850" s="110"/>
      <c r="HD850" s="109"/>
      <c r="HE850" s="111"/>
      <c r="HF850" s="109"/>
      <c r="HG850" s="109"/>
      <c r="HH850" s="110"/>
      <c r="HI850" s="109"/>
      <c r="HJ850" s="111"/>
      <c r="HK850" s="109"/>
      <c r="HL850" s="109"/>
      <c r="HM850" s="110"/>
      <c r="HN850" s="109"/>
      <c r="HO850" s="111"/>
      <c r="HP850" s="109"/>
      <c r="HQ850" s="109"/>
      <c r="HR850" s="110"/>
      <c r="HS850" s="109"/>
      <c r="HT850" s="111"/>
      <c r="HU850" s="109"/>
      <c r="HV850" s="109"/>
      <c r="HW850" s="110"/>
      <c r="HX850" s="109"/>
      <c r="HY850" s="111"/>
      <c r="HZ850" s="109"/>
      <c r="IA850" s="109"/>
      <c r="IB850" s="110"/>
      <c r="IC850" s="109"/>
      <c r="ID850" s="111"/>
      <c r="IE850" s="109"/>
      <c r="IF850" s="109"/>
      <c r="IG850" s="110"/>
      <c r="IH850" s="109"/>
      <c r="II850" s="111"/>
      <c r="IJ850" s="109"/>
      <c r="IK850" s="109"/>
      <c r="IL850" s="110"/>
      <c r="IM850" s="109"/>
      <c r="IN850" s="111"/>
      <c r="IO850" s="109"/>
      <c r="IP850" s="109"/>
      <c r="IQ850" s="110"/>
      <c r="IR850" s="109"/>
      <c r="IS850" s="111"/>
      <c r="IT850" s="109"/>
      <c r="IU850" s="109"/>
      <c r="IV850" s="110"/>
    </row>
    <row r="851" spans="1:256" s="123" customFormat="1" ht="14.25">
      <c r="A851" s="134">
        <v>37090</v>
      </c>
      <c r="B851" s="111">
        <v>43.403</v>
      </c>
      <c r="C851" s="111">
        <f t="shared" si="14"/>
        <v>0.043403</v>
      </c>
      <c r="D851" s="111">
        <v>24.4442</v>
      </c>
      <c r="E851" s="111">
        <v>28.7038</v>
      </c>
      <c r="F851" s="131"/>
      <c r="G851" s="109"/>
      <c r="H851" s="111"/>
      <c r="I851" s="109"/>
      <c r="J851" s="109"/>
      <c r="K851" s="110"/>
      <c r="L851" s="109"/>
      <c r="M851" s="111"/>
      <c r="N851" s="109"/>
      <c r="O851" s="109"/>
      <c r="P851" s="110"/>
      <c r="Q851" s="109"/>
      <c r="R851" s="111"/>
      <c r="S851" s="109"/>
      <c r="T851" s="109"/>
      <c r="U851" s="110"/>
      <c r="V851" s="109"/>
      <c r="W851" s="111"/>
      <c r="X851" s="109"/>
      <c r="Y851" s="109"/>
      <c r="Z851" s="110"/>
      <c r="AA851" s="109"/>
      <c r="AB851" s="111"/>
      <c r="AC851" s="109"/>
      <c r="AD851" s="109"/>
      <c r="AE851" s="110"/>
      <c r="AF851" s="109"/>
      <c r="AG851" s="111"/>
      <c r="AH851" s="109"/>
      <c r="AI851" s="109"/>
      <c r="AJ851" s="110"/>
      <c r="AK851" s="109"/>
      <c r="AL851" s="111"/>
      <c r="AM851" s="109"/>
      <c r="AN851" s="109"/>
      <c r="AO851" s="110"/>
      <c r="AP851" s="109"/>
      <c r="AQ851" s="111"/>
      <c r="AR851" s="109"/>
      <c r="AS851" s="109"/>
      <c r="AT851" s="110"/>
      <c r="AU851" s="109"/>
      <c r="AV851" s="111"/>
      <c r="AW851" s="109"/>
      <c r="AX851" s="109"/>
      <c r="AY851" s="110"/>
      <c r="AZ851" s="109"/>
      <c r="BA851" s="111"/>
      <c r="BB851" s="109"/>
      <c r="BC851" s="109"/>
      <c r="BD851" s="110"/>
      <c r="BE851" s="109"/>
      <c r="BF851" s="111"/>
      <c r="BG851" s="109"/>
      <c r="BH851" s="109"/>
      <c r="BI851" s="110"/>
      <c r="BJ851" s="109"/>
      <c r="BK851" s="111"/>
      <c r="BL851" s="109"/>
      <c r="BM851" s="109"/>
      <c r="BN851" s="110"/>
      <c r="BO851" s="109"/>
      <c r="BP851" s="111"/>
      <c r="BQ851" s="109"/>
      <c r="BR851" s="109"/>
      <c r="BS851" s="110"/>
      <c r="BT851" s="109"/>
      <c r="BU851" s="111"/>
      <c r="BV851" s="109"/>
      <c r="BW851" s="109"/>
      <c r="BX851" s="110"/>
      <c r="BY851" s="109"/>
      <c r="BZ851" s="111"/>
      <c r="CA851" s="109"/>
      <c r="CB851" s="109"/>
      <c r="CC851" s="110"/>
      <c r="CD851" s="109"/>
      <c r="CE851" s="111"/>
      <c r="CF851" s="109"/>
      <c r="CG851" s="109"/>
      <c r="CH851" s="110"/>
      <c r="CI851" s="109"/>
      <c r="CJ851" s="111"/>
      <c r="CK851" s="109"/>
      <c r="CL851" s="109"/>
      <c r="CM851" s="110"/>
      <c r="CN851" s="109"/>
      <c r="CO851" s="111"/>
      <c r="CP851" s="109"/>
      <c r="CQ851" s="109"/>
      <c r="CR851" s="110"/>
      <c r="CS851" s="109"/>
      <c r="CT851" s="111"/>
      <c r="CU851" s="109"/>
      <c r="CV851" s="109"/>
      <c r="CW851" s="110"/>
      <c r="CX851" s="109"/>
      <c r="CY851" s="111"/>
      <c r="CZ851" s="109"/>
      <c r="DA851" s="109"/>
      <c r="DB851" s="110"/>
      <c r="DC851" s="109"/>
      <c r="DD851" s="111"/>
      <c r="DE851" s="109"/>
      <c r="DF851" s="109"/>
      <c r="DG851" s="110"/>
      <c r="DH851" s="109"/>
      <c r="DI851" s="111"/>
      <c r="DJ851" s="109"/>
      <c r="DK851" s="109"/>
      <c r="DL851" s="110"/>
      <c r="DM851" s="109"/>
      <c r="DN851" s="111"/>
      <c r="DO851" s="109"/>
      <c r="DP851" s="109"/>
      <c r="DQ851" s="110"/>
      <c r="DR851" s="109"/>
      <c r="DS851" s="111"/>
      <c r="DT851" s="109"/>
      <c r="DU851" s="109"/>
      <c r="DV851" s="110"/>
      <c r="DW851" s="109"/>
      <c r="DX851" s="111"/>
      <c r="DY851" s="109"/>
      <c r="DZ851" s="109"/>
      <c r="EA851" s="110"/>
      <c r="EB851" s="109"/>
      <c r="EC851" s="111"/>
      <c r="ED851" s="109"/>
      <c r="EE851" s="109"/>
      <c r="EF851" s="110"/>
      <c r="EG851" s="109"/>
      <c r="EH851" s="111"/>
      <c r="EI851" s="109"/>
      <c r="EJ851" s="109"/>
      <c r="EK851" s="110"/>
      <c r="EL851" s="109"/>
      <c r="EM851" s="111"/>
      <c r="EN851" s="109"/>
      <c r="EO851" s="109"/>
      <c r="EP851" s="110"/>
      <c r="EQ851" s="109"/>
      <c r="ER851" s="111"/>
      <c r="ES851" s="109"/>
      <c r="ET851" s="109"/>
      <c r="EU851" s="110"/>
      <c r="EV851" s="109"/>
      <c r="EW851" s="111"/>
      <c r="EX851" s="109"/>
      <c r="EY851" s="109"/>
      <c r="EZ851" s="110"/>
      <c r="FA851" s="109"/>
      <c r="FB851" s="111"/>
      <c r="FC851" s="109"/>
      <c r="FD851" s="109"/>
      <c r="FE851" s="110"/>
      <c r="FF851" s="109"/>
      <c r="FG851" s="111"/>
      <c r="FH851" s="109"/>
      <c r="FI851" s="109"/>
      <c r="FJ851" s="110"/>
      <c r="FK851" s="109"/>
      <c r="FL851" s="111"/>
      <c r="FM851" s="109"/>
      <c r="FN851" s="109"/>
      <c r="FO851" s="110"/>
      <c r="FP851" s="109"/>
      <c r="FQ851" s="111"/>
      <c r="FR851" s="109"/>
      <c r="FS851" s="109"/>
      <c r="FT851" s="110"/>
      <c r="FU851" s="109"/>
      <c r="FV851" s="111"/>
      <c r="FW851" s="109"/>
      <c r="FX851" s="109"/>
      <c r="FY851" s="110"/>
      <c r="FZ851" s="109"/>
      <c r="GA851" s="111"/>
      <c r="GB851" s="109"/>
      <c r="GC851" s="109"/>
      <c r="GD851" s="110"/>
      <c r="GE851" s="109"/>
      <c r="GF851" s="111"/>
      <c r="GG851" s="109"/>
      <c r="GH851" s="109"/>
      <c r="GI851" s="110"/>
      <c r="GJ851" s="109"/>
      <c r="GK851" s="111"/>
      <c r="GL851" s="109"/>
      <c r="GM851" s="109"/>
      <c r="GN851" s="110"/>
      <c r="GO851" s="109"/>
      <c r="GP851" s="111"/>
      <c r="GQ851" s="109"/>
      <c r="GR851" s="109"/>
      <c r="GS851" s="110"/>
      <c r="GT851" s="109"/>
      <c r="GU851" s="111"/>
      <c r="GV851" s="109"/>
      <c r="GW851" s="109"/>
      <c r="GX851" s="110"/>
      <c r="GY851" s="109"/>
      <c r="GZ851" s="111"/>
      <c r="HA851" s="109"/>
      <c r="HB851" s="109"/>
      <c r="HC851" s="110"/>
      <c r="HD851" s="109"/>
      <c r="HE851" s="111"/>
      <c r="HF851" s="109"/>
      <c r="HG851" s="109"/>
      <c r="HH851" s="110"/>
      <c r="HI851" s="109"/>
      <c r="HJ851" s="111"/>
      <c r="HK851" s="109"/>
      <c r="HL851" s="109"/>
      <c r="HM851" s="110"/>
      <c r="HN851" s="109"/>
      <c r="HO851" s="111"/>
      <c r="HP851" s="109"/>
      <c r="HQ851" s="109"/>
      <c r="HR851" s="110"/>
      <c r="HS851" s="109"/>
      <c r="HT851" s="111"/>
      <c r="HU851" s="109"/>
      <c r="HV851" s="109"/>
      <c r="HW851" s="110"/>
      <c r="HX851" s="109"/>
      <c r="HY851" s="111"/>
      <c r="HZ851" s="109"/>
      <c r="IA851" s="109"/>
      <c r="IB851" s="110"/>
      <c r="IC851" s="109"/>
      <c r="ID851" s="111"/>
      <c r="IE851" s="109"/>
      <c r="IF851" s="109"/>
      <c r="IG851" s="110"/>
      <c r="IH851" s="109"/>
      <c r="II851" s="111"/>
      <c r="IJ851" s="109"/>
      <c r="IK851" s="109"/>
      <c r="IL851" s="110"/>
      <c r="IM851" s="109"/>
      <c r="IN851" s="111"/>
      <c r="IO851" s="109"/>
      <c r="IP851" s="109"/>
      <c r="IQ851" s="110"/>
      <c r="IR851" s="109"/>
      <c r="IS851" s="111"/>
      <c r="IT851" s="109"/>
      <c r="IU851" s="109"/>
      <c r="IV851" s="110"/>
    </row>
    <row r="852" spans="1:256" s="123" customFormat="1" ht="14.25">
      <c r="A852" s="134">
        <v>37091</v>
      </c>
      <c r="B852" s="111">
        <v>38.7178</v>
      </c>
      <c r="C852" s="111">
        <f t="shared" si="14"/>
        <v>0.0387178</v>
      </c>
      <c r="D852" s="111">
        <v>22.2164</v>
      </c>
      <c r="E852" s="111">
        <v>25.7433</v>
      </c>
      <c r="F852" s="131"/>
      <c r="G852" s="109"/>
      <c r="H852" s="111"/>
      <c r="I852" s="109"/>
      <c r="J852" s="109"/>
      <c r="K852" s="110"/>
      <c r="L852" s="109"/>
      <c r="M852" s="111"/>
      <c r="N852" s="109"/>
      <c r="O852" s="109"/>
      <c r="P852" s="110"/>
      <c r="Q852" s="109"/>
      <c r="R852" s="111"/>
      <c r="S852" s="109"/>
      <c r="T852" s="109"/>
      <c r="U852" s="110"/>
      <c r="V852" s="109"/>
      <c r="W852" s="111"/>
      <c r="X852" s="109"/>
      <c r="Y852" s="109"/>
      <c r="Z852" s="110"/>
      <c r="AA852" s="109"/>
      <c r="AB852" s="111"/>
      <c r="AC852" s="109"/>
      <c r="AD852" s="109"/>
      <c r="AE852" s="110"/>
      <c r="AF852" s="109"/>
      <c r="AG852" s="111"/>
      <c r="AH852" s="109"/>
      <c r="AI852" s="109"/>
      <c r="AJ852" s="110"/>
      <c r="AK852" s="109"/>
      <c r="AL852" s="111"/>
      <c r="AM852" s="109"/>
      <c r="AN852" s="109"/>
      <c r="AO852" s="110"/>
      <c r="AP852" s="109"/>
      <c r="AQ852" s="111"/>
      <c r="AR852" s="109"/>
      <c r="AS852" s="109"/>
      <c r="AT852" s="110"/>
      <c r="AU852" s="109"/>
      <c r="AV852" s="111"/>
      <c r="AW852" s="109"/>
      <c r="AX852" s="109"/>
      <c r="AY852" s="110"/>
      <c r="AZ852" s="109"/>
      <c r="BA852" s="111"/>
      <c r="BB852" s="109"/>
      <c r="BC852" s="109"/>
      <c r="BD852" s="110"/>
      <c r="BE852" s="109"/>
      <c r="BF852" s="111"/>
      <c r="BG852" s="109"/>
      <c r="BH852" s="109"/>
      <c r="BI852" s="110"/>
      <c r="BJ852" s="109"/>
      <c r="BK852" s="111"/>
      <c r="BL852" s="109"/>
      <c r="BM852" s="109"/>
      <c r="BN852" s="110"/>
      <c r="BO852" s="109"/>
      <c r="BP852" s="111"/>
      <c r="BQ852" s="109"/>
      <c r="BR852" s="109"/>
      <c r="BS852" s="110"/>
      <c r="BT852" s="109"/>
      <c r="BU852" s="111"/>
      <c r="BV852" s="109"/>
      <c r="BW852" s="109"/>
      <c r="BX852" s="110"/>
      <c r="BY852" s="109"/>
      <c r="BZ852" s="111"/>
      <c r="CA852" s="109"/>
      <c r="CB852" s="109"/>
      <c r="CC852" s="110"/>
      <c r="CD852" s="109"/>
      <c r="CE852" s="111"/>
      <c r="CF852" s="109"/>
      <c r="CG852" s="109"/>
      <c r="CH852" s="110"/>
      <c r="CI852" s="109"/>
      <c r="CJ852" s="111"/>
      <c r="CK852" s="109"/>
      <c r="CL852" s="109"/>
      <c r="CM852" s="110"/>
      <c r="CN852" s="109"/>
      <c r="CO852" s="111"/>
      <c r="CP852" s="109"/>
      <c r="CQ852" s="109"/>
      <c r="CR852" s="110"/>
      <c r="CS852" s="109"/>
      <c r="CT852" s="111"/>
      <c r="CU852" s="109"/>
      <c r="CV852" s="109"/>
      <c r="CW852" s="110"/>
      <c r="CX852" s="109"/>
      <c r="CY852" s="111"/>
      <c r="CZ852" s="109"/>
      <c r="DA852" s="109"/>
      <c r="DB852" s="110"/>
      <c r="DC852" s="109"/>
      <c r="DD852" s="111"/>
      <c r="DE852" s="109"/>
      <c r="DF852" s="109"/>
      <c r="DG852" s="110"/>
      <c r="DH852" s="109"/>
      <c r="DI852" s="111"/>
      <c r="DJ852" s="109"/>
      <c r="DK852" s="109"/>
      <c r="DL852" s="110"/>
      <c r="DM852" s="109"/>
      <c r="DN852" s="111"/>
      <c r="DO852" s="109"/>
      <c r="DP852" s="109"/>
      <c r="DQ852" s="110"/>
      <c r="DR852" s="109"/>
      <c r="DS852" s="111"/>
      <c r="DT852" s="109"/>
      <c r="DU852" s="109"/>
      <c r="DV852" s="110"/>
      <c r="DW852" s="109"/>
      <c r="DX852" s="111"/>
      <c r="DY852" s="109"/>
      <c r="DZ852" s="109"/>
      <c r="EA852" s="110"/>
      <c r="EB852" s="109"/>
      <c r="EC852" s="111"/>
      <c r="ED852" s="109"/>
      <c r="EE852" s="109"/>
      <c r="EF852" s="110"/>
      <c r="EG852" s="109"/>
      <c r="EH852" s="111"/>
      <c r="EI852" s="109"/>
      <c r="EJ852" s="109"/>
      <c r="EK852" s="110"/>
      <c r="EL852" s="109"/>
      <c r="EM852" s="111"/>
      <c r="EN852" s="109"/>
      <c r="EO852" s="109"/>
      <c r="EP852" s="110"/>
      <c r="EQ852" s="109"/>
      <c r="ER852" s="111"/>
      <c r="ES852" s="109"/>
      <c r="ET852" s="109"/>
      <c r="EU852" s="110"/>
      <c r="EV852" s="109"/>
      <c r="EW852" s="111"/>
      <c r="EX852" s="109"/>
      <c r="EY852" s="109"/>
      <c r="EZ852" s="110"/>
      <c r="FA852" s="109"/>
      <c r="FB852" s="111"/>
      <c r="FC852" s="109"/>
      <c r="FD852" s="109"/>
      <c r="FE852" s="110"/>
      <c r="FF852" s="109"/>
      <c r="FG852" s="111"/>
      <c r="FH852" s="109"/>
      <c r="FI852" s="109"/>
      <c r="FJ852" s="110"/>
      <c r="FK852" s="109"/>
      <c r="FL852" s="111"/>
      <c r="FM852" s="109"/>
      <c r="FN852" s="109"/>
      <c r="FO852" s="110"/>
      <c r="FP852" s="109"/>
      <c r="FQ852" s="111"/>
      <c r="FR852" s="109"/>
      <c r="FS852" s="109"/>
      <c r="FT852" s="110"/>
      <c r="FU852" s="109"/>
      <c r="FV852" s="111"/>
      <c r="FW852" s="109"/>
      <c r="FX852" s="109"/>
      <c r="FY852" s="110"/>
      <c r="FZ852" s="109"/>
      <c r="GA852" s="111"/>
      <c r="GB852" s="109"/>
      <c r="GC852" s="109"/>
      <c r="GD852" s="110"/>
      <c r="GE852" s="109"/>
      <c r="GF852" s="111"/>
      <c r="GG852" s="109"/>
      <c r="GH852" s="109"/>
      <c r="GI852" s="110"/>
      <c r="GJ852" s="109"/>
      <c r="GK852" s="111"/>
      <c r="GL852" s="109"/>
      <c r="GM852" s="109"/>
      <c r="GN852" s="110"/>
      <c r="GO852" s="109"/>
      <c r="GP852" s="111"/>
      <c r="GQ852" s="109"/>
      <c r="GR852" s="109"/>
      <c r="GS852" s="110"/>
      <c r="GT852" s="109"/>
      <c r="GU852" s="111"/>
      <c r="GV852" s="109"/>
      <c r="GW852" s="109"/>
      <c r="GX852" s="110"/>
      <c r="GY852" s="109"/>
      <c r="GZ852" s="111"/>
      <c r="HA852" s="109"/>
      <c r="HB852" s="109"/>
      <c r="HC852" s="110"/>
      <c r="HD852" s="109"/>
      <c r="HE852" s="111"/>
      <c r="HF852" s="109"/>
      <c r="HG852" s="109"/>
      <c r="HH852" s="110"/>
      <c r="HI852" s="109"/>
      <c r="HJ852" s="111"/>
      <c r="HK852" s="109"/>
      <c r="HL852" s="109"/>
      <c r="HM852" s="110"/>
      <c r="HN852" s="109"/>
      <c r="HO852" s="111"/>
      <c r="HP852" s="109"/>
      <c r="HQ852" s="109"/>
      <c r="HR852" s="110"/>
      <c r="HS852" s="109"/>
      <c r="HT852" s="111"/>
      <c r="HU852" s="109"/>
      <c r="HV852" s="109"/>
      <c r="HW852" s="110"/>
      <c r="HX852" s="109"/>
      <c r="HY852" s="111"/>
      <c r="HZ852" s="109"/>
      <c r="IA852" s="109"/>
      <c r="IB852" s="110"/>
      <c r="IC852" s="109"/>
      <c r="ID852" s="111"/>
      <c r="IE852" s="109"/>
      <c r="IF852" s="109"/>
      <c r="IG852" s="110"/>
      <c r="IH852" s="109"/>
      <c r="II852" s="111"/>
      <c r="IJ852" s="109"/>
      <c r="IK852" s="109"/>
      <c r="IL852" s="110"/>
      <c r="IM852" s="109"/>
      <c r="IN852" s="111"/>
      <c r="IO852" s="109"/>
      <c r="IP852" s="109"/>
      <c r="IQ852" s="110"/>
      <c r="IR852" s="109"/>
      <c r="IS852" s="111"/>
      <c r="IT852" s="109"/>
      <c r="IU852" s="109"/>
      <c r="IV852" s="110"/>
    </row>
    <row r="853" spans="1:256" s="123" customFormat="1" ht="14.25">
      <c r="A853" s="134">
        <v>37092</v>
      </c>
      <c r="B853" s="111">
        <v>36.5018</v>
      </c>
      <c r="C853" s="111">
        <f t="shared" si="14"/>
        <v>0.0365018</v>
      </c>
      <c r="D853" s="111">
        <v>21.1284</v>
      </c>
      <c r="E853" s="111">
        <v>24.2215</v>
      </c>
      <c r="F853" s="131"/>
      <c r="G853" s="109"/>
      <c r="H853" s="111"/>
      <c r="I853" s="109"/>
      <c r="J853" s="109"/>
      <c r="K853" s="110"/>
      <c r="L853" s="109"/>
      <c r="M853" s="111"/>
      <c r="N853" s="109"/>
      <c r="O853" s="109"/>
      <c r="P853" s="110"/>
      <c r="Q853" s="109"/>
      <c r="R853" s="111"/>
      <c r="S853" s="109"/>
      <c r="T853" s="109"/>
      <c r="U853" s="110"/>
      <c r="V853" s="109"/>
      <c r="W853" s="111"/>
      <c r="X853" s="109"/>
      <c r="Y853" s="109"/>
      <c r="Z853" s="110"/>
      <c r="AA853" s="109"/>
      <c r="AB853" s="111"/>
      <c r="AC853" s="109"/>
      <c r="AD853" s="109"/>
      <c r="AE853" s="110"/>
      <c r="AF853" s="109"/>
      <c r="AG853" s="111"/>
      <c r="AH853" s="109"/>
      <c r="AI853" s="109"/>
      <c r="AJ853" s="110"/>
      <c r="AK853" s="109"/>
      <c r="AL853" s="111"/>
      <c r="AM853" s="109"/>
      <c r="AN853" s="109"/>
      <c r="AO853" s="110"/>
      <c r="AP853" s="109"/>
      <c r="AQ853" s="111"/>
      <c r="AR853" s="109"/>
      <c r="AS853" s="109"/>
      <c r="AT853" s="110"/>
      <c r="AU853" s="109"/>
      <c r="AV853" s="111"/>
      <c r="AW853" s="109"/>
      <c r="AX853" s="109"/>
      <c r="AY853" s="110"/>
      <c r="AZ853" s="109"/>
      <c r="BA853" s="111"/>
      <c r="BB853" s="109"/>
      <c r="BC853" s="109"/>
      <c r="BD853" s="110"/>
      <c r="BE853" s="109"/>
      <c r="BF853" s="111"/>
      <c r="BG853" s="109"/>
      <c r="BH853" s="109"/>
      <c r="BI853" s="110"/>
      <c r="BJ853" s="109"/>
      <c r="BK853" s="111"/>
      <c r="BL853" s="109"/>
      <c r="BM853" s="109"/>
      <c r="BN853" s="110"/>
      <c r="BO853" s="109"/>
      <c r="BP853" s="111"/>
      <c r="BQ853" s="109"/>
      <c r="BR853" s="109"/>
      <c r="BS853" s="110"/>
      <c r="BT853" s="109"/>
      <c r="BU853" s="111"/>
      <c r="BV853" s="109"/>
      <c r="BW853" s="109"/>
      <c r="BX853" s="110"/>
      <c r="BY853" s="109"/>
      <c r="BZ853" s="111"/>
      <c r="CA853" s="109"/>
      <c r="CB853" s="109"/>
      <c r="CC853" s="110"/>
      <c r="CD853" s="109"/>
      <c r="CE853" s="111"/>
      <c r="CF853" s="109"/>
      <c r="CG853" s="109"/>
      <c r="CH853" s="110"/>
      <c r="CI853" s="109"/>
      <c r="CJ853" s="111"/>
      <c r="CK853" s="109"/>
      <c r="CL853" s="109"/>
      <c r="CM853" s="110"/>
      <c r="CN853" s="109"/>
      <c r="CO853" s="111"/>
      <c r="CP853" s="109"/>
      <c r="CQ853" s="109"/>
      <c r="CR853" s="110"/>
      <c r="CS853" s="109"/>
      <c r="CT853" s="111"/>
      <c r="CU853" s="109"/>
      <c r="CV853" s="109"/>
      <c r="CW853" s="110"/>
      <c r="CX853" s="109"/>
      <c r="CY853" s="111"/>
      <c r="CZ853" s="109"/>
      <c r="DA853" s="109"/>
      <c r="DB853" s="110"/>
      <c r="DC853" s="109"/>
      <c r="DD853" s="111"/>
      <c r="DE853" s="109"/>
      <c r="DF853" s="109"/>
      <c r="DG853" s="110"/>
      <c r="DH853" s="109"/>
      <c r="DI853" s="111"/>
      <c r="DJ853" s="109"/>
      <c r="DK853" s="109"/>
      <c r="DL853" s="110"/>
      <c r="DM853" s="109"/>
      <c r="DN853" s="111"/>
      <c r="DO853" s="109"/>
      <c r="DP853" s="109"/>
      <c r="DQ853" s="110"/>
      <c r="DR853" s="109"/>
      <c r="DS853" s="111"/>
      <c r="DT853" s="109"/>
      <c r="DU853" s="109"/>
      <c r="DV853" s="110"/>
      <c r="DW853" s="109"/>
      <c r="DX853" s="111"/>
      <c r="DY853" s="109"/>
      <c r="DZ853" s="109"/>
      <c r="EA853" s="110"/>
      <c r="EB853" s="109"/>
      <c r="EC853" s="111"/>
      <c r="ED853" s="109"/>
      <c r="EE853" s="109"/>
      <c r="EF853" s="110"/>
      <c r="EG853" s="109"/>
      <c r="EH853" s="111"/>
      <c r="EI853" s="109"/>
      <c r="EJ853" s="109"/>
      <c r="EK853" s="110"/>
      <c r="EL853" s="109"/>
      <c r="EM853" s="111"/>
      <c r="EN853" s="109"/>
      <c r="EO853" s="109"/>
      <c r="EP853" s="110"/>
      <c r="EQ853" s="109"/>
      <c r="ER853" s="111"/>
      <c r="ES853" s="109"/>
      <c r="ET853" s="109"/>
      <c r="EU853" s="110"/>
      <c r="EV853" s="109"/>
      <c r="EW853" s="111"/>
      <c r="EX853" s="109"/>
      <c r="EY853" s="109"/>
      <c r="EZ853" s="110"/>
      <c r="FA853" s="109"/>
      <c r="FB853" s="111"/>
      <c r="FC853" s="109"/>
      <c r="FD853" s="109"/>
      <c r="FE853" s="110"/>
      <c r="FF853" s="109"/>
      <c r="FG853" s="111"/>
      <c r="FH853" s="109"/>
      <c r="FI853" s="109"/>
      <c r="FJ853" s="110"/>
      <c r="FK853" s="109"/>
      <c r="FL853" s="111"/>
      <c r="FM853" s="109"/>
      <c r="FN853" s="109"/>
      <c r="FO853" s="110"/>
      <c r="FP853" s="109"/>
      <c r="FQ853" s="111"/>
      <c r="FR853" s="109"/>
      <c r="FS853" s="109"/>
      <c r="FT853" s="110"/>
      <c r="FU853" s="109"/>
      <c r="FV853" s="111"/>
      <c r="FW853" s="109"/>
      <c r="FX853" s="109"/>
      <c r="FY853" s="110"/>
      <c r="FZ853" s="109"/>
      <c r="GA853" s="111"/>
      <c r="GB853" s="109"/>
      <c r="GC853" s="109"/>
      <c r="GD853" s="110"/>
      <c r="GE853" s="109"/>
      <c r="GF853" s="111"/>
      <c r="GG853" s="109"/>
      <c r="GH853" s="109"/>
      <c r="GI853" s="110"/>
      <c r="GJ853" s="109"/>
      <c r="GK853" s="111"/>
      <c r="GL853" s="109"/>
      <c r="GM853" s="109"/>
      <c r="GN853" s="110"/>
      <c r="GO853" s="109"/>
      <c r="GP853" s="111"/>
      <c r="GQ853" s="109"/>
      <c r="GR853" s="109"/>
      <c r="GS853" s="110"/>
      <c r="GT853" s="109"/>
      <c r="GU853" s="111"/>
      <c r="GV853" s="109"/>
      <c r="GW853" s="109"/>
      <c r="GX853" s="110"/>
      <c r="GY853" s="109"/>
      <c r="GZ853" s="111"/>
      <c r="HA853" s="109"/>
      <c r="HB853" s="109"/>
      <c r="HC853" s="110"/>
      <c r="HD853" s="109"/>
      <c r="HE853" s="111"/>
      <c r="HF853" s="109"/>
      <c r="HG853" s="109"/>
      <c r="HH853" s="110"/>
      <c r="HI853" s="109"/>
      <c r="HJ853" s="111"/>
      <c r="HK853" s="109"/>
      <c r="HL853" s="109"/>
      <c r="HM853" s="110"/>
      <c r="HN853" s="109"/>
      <c r="HO853" s="111"/>
      <c r="HP853" s="109"/>
      <c r="HQ853" s="109"/>
      <c r="HR853" s="110"/>
      <c r="HS853" s="109"/>
      <c r="HT853" s="111"/>
      <c r="HU853" s="109"/>
      <c r="HV853" s="109"/>
      <c r="HW853" s="110"/>
      <c r="HX853" s="109"/>
      <c r="HY853" s="111"/>
      <c r="HZ853" s="109"/>
      <c r="IA853" s="109"/>
      <c r="IB853" s="110"/>
      <c r="IC853" s="109"/>
      <c r="ID853" s="111"/>
      <c r="IE853" s="109"/>
      <c r="IF853" s="109"/>
      <c r="IG853" s="110"/>
      <c r="IH853" s="109"/>
      <c r="II853" s="111"/>
      <c r="IJ853" s="109"/>
      <c r="IK853" s="109"/>
      <c r="IL853" s="110"/>
      <c r="IM853" s="109"/>
      <c r="IN853" s="111"/>
      <c r="IO853" s="109"/>
      <c r="IP853" s="109"/>
      <c r="IQ853" s="110"/>
      <c r="IR853" s="109"/>
      <c r="IS853" s="111"/>
      <c r="IT853" s="109"/>
      <c r="IU853" s="109"/>
      <c r="IV853" s="110"/>
    </row>
    <row r="854" spans="1:256" s="123" customFormat="1" ht="14.25">
      <c r="A854" s="134">
        <v>37095</v>
      </c>
      <c r="B854" s="111">
        <v>39.2672</v>
      </c>
      <c r="C854" s="111">
        <f t="shared" si="14"/>
        <v>0.0392672</v>
      </c>
      <c r="D854" s="111">
        <v>22.8551</v>
      </c>
      <c r="E854" s="111">
        <v>26.0427</v>
      </c>
      <c r="F854" s="131"/>
      <c r="G854" s="109"/>
      <c r="H854" s="111"/>
      <c r="I854" s="109"/>
      <c r="J854" s="109"/>
      <c r="K854" s="110"/>
      <c r="L854" s="109"/>
      <c r="M854" s="111"/>
      <c r="N854" s="109"/>
      <c r="O854" s="109"/>
      <c r="P854" s="110"/>
      <c r="Q854" s="109"/>
      <c r="R854" s="111"/>
      <c r="S854" s="109"/>
      <c r="T854" s="109"/>
      <c r="U854" s="110"/>
      <c r="V854" s="109"/>
      <c r="W854" s="111"/>
      <c r="X854" s="109"/>
      <c r="Y854" s="109"/>
      <c r="Z854" s="110"/>
      <c r="AA854" s="109"/>
      <c r="AB854" s="111"/>
      <c r="AC854" s="109"/>
      <c r="AD854" s="109"/>
      <c r="AE854" s="110"/>
      <c r="AF854" s="109"/>
      <c r="AG854" s="111"/>
      <c r="AH854" s="109"/>
      <c r="AI854" s="109"/>
      <c r="AJ854" s="110"/>
      <c r="AK854" s="109"/>
      <c r="AL854" s="111"/>
      <c r="AM854" s="109"/>
      <c r="AN854" s="109"/>
      <c r="AO854" s="110"/>
      <c r="AP854" s="109"/>
      <c r="AQ854" s="111"/>
      <c r="AR854" s="109"/>
      <c r="AS854" s="109"/>
      <c r="AT854" s="110"/>
      <c r="AU854" s="109"/>
      <c r="AV854" s="111"/>
      <c r="AW854" s="109"/>
      <c r="AX854" s="109"/>
      <c r="AY854" s="110"/>
      <c r="AZ854" s="109"/>
      <c r="BA854" s="111"/>
      <c r="BB854" s="109"/>
      <c r="BC854" s="109"/>
      <c r="BD854" s="110"/>
      <c r="BE854" s="109"/>
      <c r="BF854" s="111"/>
      <c r="BG854" s="109"/>
      <c r="BH854" s="109"/>
      <c r="BI854" s="110"/>
      <c r="BJ854" s="109"/>
      <c r="BK854" s="111"/>
      <c r="BL854" s="109"/>
      <c r="BM854" s="109"/>
      <c r="BN854" s="110"/>
      <c r="BO854" s="109"/>
      <c r="BP854" s="111"/>
      <c r="BQ854" s="109"/>
      <c r="BR854" s="109"/>
      <c r="BS854" s="110"/>
      <c r="BT854" s="109"/>
      <c r="BU854" s="111"/>
      <c r="BV854" s="109"/>
      <c r="BW854" s="109"/>
      <c r="BX854" s="110"/>
      <c r="BY854" s="109"/>
      <c r="BZ854" s="111"/>
      <c r="CA854" s="109"/>
      <c r="CB854" s="109"/>
      <c r="CC854" s="110"/>
      <c r="CD854" s="109"/>
      <c r="CE854" s="111"/>
      <c r="CF854" s="109"/>
      <c r="CG854" s="109"/>
      <c r="CH854" s="110"/>
      <c r="CI854" s="109"/>
      <c r="CJ854" s="111"/>
      <c r="CK854" s="109"/>
      <c r="CL854" s="109"/>
      <c r="CM854" s="110"/>
      <c r="CN854" s="109"/>
      <c r="CO854" s="111"/>
      <c r="CP854" s="109"/>
      <c r="CQ854" s="109"/>
      <c r="CR854" s="110"/>
      <c r="CS854" s="109"/>
      <c r="CT854" s="111"/>
      <c r="CU854" s="109"/>
      <c r="CV854" s="109"/>
      <c r="CW854" s="110"/>
      <c r="CX854" s="109"/>
      <c r="CY854" s="111"/>
      <c r="CZ854" s="109"/>
      <c r="DA854" s="109"/>
      <c r="DB854" s="110"/>
      <c r="DC854" s="109"/>
      <c r="DD854" s="111"/>
      <c r="DE854" s="109"/>
      <c r="DF854" s="109"/>
      <c r="DG854" s="110"/>
      <c r="DH854" s="109"/>
      <c r="DI854" s="111"/>
      <c r="DJ854" s="109"/>
      <c r="DK854" s="109"/>
      <c r="DL854" s="110"/>
      <c r="DM854" s="109"/>
      <c r="DN854" s="111"/>
      <c r="DO854" s="109"/>
      <c r="DP854" s="109"/>
      <c r="DQ854" s="110"/>
      <c r="DR854" s="109"/>
      <c r="DS854" s="111"/>
      <c r="DT854" s="109"/>
      <c r="DU854" s="109"/>
      <c r="DV854" s="110"/>
      <c r="DW854" s="109"/>
      <c r="DX854" s="111"/>
      <c r="DY854" s="109"/>
      <c r="DZ854" s="109"/>
      <c r="EA854" s="110"/>
      <c r="EB854" s="109"/>
      <c r="EC854" s="111"/>
      <c r="ED854" s="109"/>
      <c r="EE854" s="109"/>
      <c r="EF854" s="110"/>
      <c r="EG854" s="109"/>
      <c r="EH854" s="111"/>
      <c r="EI854" s="109"/>
      <c r="EJ854" s="109"/>
      <c r="EK854" s="110"/>
      <c r="EL854" s="109"/>
      <c r="EM854" s="111"/>
      <c r="EN854" s="109"/>
      <c r="EO854" s="109"/>
      <c r="EP854" s="110"/>
      <c r="EQ854" s="109"/>
      <c r="ER854" s="111"/>
      <c r="ES854" s="109"/>
      <c r="ET854" s="109"/>
      <c r="EU854" s="110"/>
      <c r="EV854" s="109"/>
      <c r="EW854" s="111"/>
      <c r="EX854" s="109"/>
      <c r="EY854" s="109"/>
      <c r="EZ854" s="110"/>
      <c r="FA854" s="109"/>
      <c r="FB854" s="111"/>
      <c r="FC854" s="109"/>
      <c r="FD854" s="109"/>
      <c r="FE854" s="110"/>
      <c r="FF854" s="109"/>
      <c r="FG854" s="111"/>
      <c r="FH854" s="109"/>
      <c r="FI854" s="109"/>
      <c r="FJ854" s="110"/>
      <c r="FK854" s="109"/>
      <c r="FL854" s="111"/>
      <c r="FM854" s="109"/>
      <c r="FN854" s="109"/>
      <c r="FO854" s="110"/>
      <c r="FP854" s="109"/>
      <c r="FQ854" s="111"/>
      <c r="FR854" s="109"/>
      <c r="FS854" s="109"/>
      <c r="FT854" s="110"/>
      <c r="FU854" s="109"/>
      <c r="FV854" s="111"/>
      <c r="FW854" s="109"/>
      <c r="FX854" s="109"/>
      <c r="FY854" s="110"/>
      <c r="FZ854" s="109"/>
      <c r="GA854" s="111"/>
      <c r="GB854" s="109"/>
      <c r="GC854" s="109"/>
      <c r="GD854" s="110"/>
      <c r="GE854" s="109"/>
      <c r="GF854" s="111"/>
      <c r="GG854" s="109"/>
      <c r="GH854" s="109"/>
      <c r="GI854" s="110"/>
      <c r="GJ854" s="109"/>
      <c r="GK854" s="111"/>
      <c r="GL854" s="109"/>
      <c r="GM854" s="109"/>
      <c r="GN854" s="110"/>
      <c r="GO854" s="109"/>
      <c r="GP854" s="111"/>
      <c r="GQ854" s="109"/>
      <c r="GR854" s="109"/>
      <c r="GS854" s="110"/>
      <c r="GT854" s="109"/>
      <c r="GU854" s="111"/>
      <c r="GV854" s="109"/>
      <c r="GW854" s="109"/>
      <c r="GX854" s="110"/>
      <c r="GY854" s="109"/>
      <c r="GZ854" s="111"/>
      <c r="HA854" s="109"/>
      <c r="HB854" s="109"/>
      <c r="HC854" s="110"/>
      <c r="HD854" s="109"/>
      <c r="HE854" s="111"/>
      <c r="HF854" s="109"/>
      <c r="HG854" s="109"/>
      <c r="HH854" s="110"/>
      <c r="HI854" s="109"/>
      <c r="HJ854" s="111"/>
      <c r="HK854" s="109"/>
      <c r="HL854" s="109"/>
      <c r="HM854" s="110"/>
      <c r="HN854" s="109"/>
      <c r="HO854" s="111"/>
      <c r="HP854" s="109"/>
      <c r="HQ854" s="109"/>
      <c r="HR854" s="110"/>
      <c r="HS854" s="109"/>
      <c r="HT854" s="111"/>
      <c r="HU854" s="109"/>
      <c r="HV854" s="109"/>
      <c r="HW854" s="110"/>
      <c r="HX854" s="109"/>
      <c r="HY854" s="111"/>
      <c r="HZ854" s="109"/>
      <c r="IA854" s="109"/>
      <c r="IB854" s="110"/>
      <c r="IC854" s="109"/>
      <c r="ID854" s="111"/>
      <c r="IE854" s="109"/>
      <c r="IF854" s="109"/>
      <c r="IG854" s="110"/>
      <c r="IH854" s="109"/>
      <c r="II854" s="111"/>
      <c r="IJ854" s="109"/>
      <c r="IK854" s="109"/>
      <c r="IL854" s="110"/>
      <c r="IM854" s="109"/>
      <c r="IN854" s="111"/>
      <c r="IO854" s="109"/>
      <c r="IP854" s="109"/>
      <c r="IQ854" s="110"/>
      <c r="IR854" s="109"/>
      <c r="IS854" s="111"/>
      <c r="IT854" s="109"/>
      <c r="IU854" s="109"/>
      <c r="IV854" s="110"/>
    </row>
    <row r="855" spans="1:256" s="123" customFormat="1" ht="14.25">
      <c r="A855" s="134">
        <v>37096</v>
      </c>
      <c r="B855" s="111">
        <v>37.2429</v>
      </c>
      <c r="C855" s="111">
        <f t="shared" si="14"/>
        <v>0.0372429</v>
      </c>
      <c r="D855" s="111">
        <v>21.4626</v>
      </c>
      <c r="E855" s="111">
        <v>24.7379</v>
      </c>
      <c r="F855" s="131"/>
      <c r="G855" s="109"/>
      <c r="H855" s="111"/>
      <c r="I855" s="109"/>
      <c r="J855" s="109"/>
      <c r="K855" s="110"/>
      <c r="L855" s="109"/>
      <c r="M855" s="111"/>
      <c r="N855" s="109"/>
      <c r="O855" s="109"/>
      <c r="P855" s="110"/>
      <c r="Q855" s="109"/>
      <c r="R855" s="111"/>
      <c r="S855" s="109"/>
      <c r="T855" s="109"/>
      <c r="U855" s="110"/>
      <c r="V855" s="109"/>
      <c r="W855" s="111"/>
      <c r="X855" s="109"/>
      <c r="Y855" s="109"/>
      <c r="Z855" s="110"/>
      <c r="AA855" s="109"/>
      <c r="AB855" s="111"/>
      <c r="AC855" s="109"/>
      <c r="AD855" s="109"/>
      <c r="AE855" s="110"/>
      <c r="AF855" s="109"/>
      <c r="AG855" s="111"/>
      <c r="AH855" s="109"/>
      <c r="AI855" s="109"/>
      <c r="AJ855" s="110"/>
      <c r="AK855" s="109"/>
      <c r="AL855" s="111"/>
      <c r="AM855" s="109"/>
      <c r="AN855" s="109"/>
      <c r="AO855" s="110"/>
      <c r="AP855" s="109"/>
      <c r="AQ855" s="111"/>
      <c r="AR855" s="109"/>
      <c r="AS855" s="109"/>
      <c r="AT855" s="110"/>
      <c r="AU855" s="109"/>
      <c r="AV855" s="111"/>
      <c r="AW855" s="109"/>
      <c r="AX855" s="109"/>
      <c r="AY855" s="110"/>
      <c r="AZ855" s="109"/>
      <c r="BA855" s="111"/>
      <c r="BB855" s="109"/>
      <c r="BC855" s="109"/>
      <c r="BD855" s="110"/>
      <c r="BE855" s="109"/>
      <c r="BF855" s="111"/>
      <c r="BG855" s="109"/>
      <c r="BH855" s="109"/>
      <c r="BI855" s="110"/>
      <c r="BJ855" s="109"/>
      <c r="BK855" s="111"/>
      <c r="BL855" s="109"/>
      <c r="BM855" s="109"/>
      <c r="BN855" s="110"/>
      <c r="BO855" s="109"/>
      <c r="BP855" s="111"/>
      <c r="BQ855" s="109"/>
      <c r="BR855" s="109"/>
      <c r="BS855" s="110"/>
      <c r="BT855" s="109"/>
      <c r="BU855" s="111"/>
      <c r="BV855" s="109"/>
      <c r="BW855" s="109"/>
      <c r="BX855" s="110"/>
      <c r="BY855" s="109"/>
      <c r="BZ855" s="111"/>
      <c r="CA855" s="109"/>
      <c r="CB855" s="109"/>
      <c r="CC855" s="110"/>
      <c r="CD855" s="109"/>
      <c r="CE855" s="111"/>
      <c r="CF855" s="109"/>
      <c r="CG855" s="109"/>
      <c r="CH855" s="110"/>
      <c r="CI855" s="109"/>
      <c r="CJ855" s="111"/>
      <c r="CK855" s="109"/>
      <c r="CL855" s="109"/>
      <c r="CM855" s="110"/>
      <c r="CN855" s="109"/>
      <c r="CO855" s="111"/>
      <c r="CP855" s="109"/>
      <c r="CQ855" s="109"/>
      <c r="CR855" s="110"/>
      <c r="CS855" s="109"/>
      <c r="CT855" s="111"/>
      <c r="CU855" s="109"/>
      <c r="CV855" s="109"/>
      <c r="CW855" s="110"/>
      <c r="CX855" s="109"/>
      <c r="CY855" s="111"/>
      <c r="CZ855" s="109"/>
      <c r="DA855" s="109"/>
      <c r="DB855" s="110"/>
      <c r="DC855" s="109"/>
      <c r="DD855" s="111"/>
      <c r="DE855" s="109"/>
      <c r="DF855" s="109"/>
      <c r="DG855" s="110"/>
      <c r="DH855" s="109"/>
      <c r="DI855" s="111"/>
      <c r="DJ855" s="109"/>
      <c r="DK855" s="109"/>
      <c r="DL855" s="110"/>
      <c r="DM855" s="109"/>
      <c r="DN855" s="111"/>
      <c r="DO855" s="109"/>
      <c r="DP855" s="109"/>
      <c r="DQ855" s="110"/>
      <c r="DR855" s="109"/>
      <c r="DS855" s="111"/>
      <c r="DT855" s="109"/>
      <c r="DU855" s="109"/>
      <c r="DV855" s="110"/>
      <c r="DW855" s="109"/>
      <c r="DX855" s="111"/>
      <c r="DY855" s="109"/>
      <c r="DZ855" s="109"/>
      <c r="EA855" s="110"/>
      <c r="EB855" s="109"/>
      <c r="EC855" s="111"/>
      <c r="ED855" s="109"/>
      <c r="EE855" s="109"/>
      <c r="EF855" s="110"/>
      <c r="EG855" s="109"/>
      <c r="EH855" s="111"/>
      <c r="EI855" s="109"/>
      <c r="EJ855" s="109"/>
      <c r="EK855" s="110"/>
      <c r="EL855" s="109"/>
      <c r="EM855" s="111"/>
      <c r="EN855" s="109"/>
      <c r="EO855" s="109"/>
      <c r="EP855" s="110"/>
      <c r="EQ855" s="109"/>
      <c r="ER855" s="111"/>
      <c r="ES855" s="109"/>
      <c r="ET855" s="109"/>
      <c r="EU855" s="110"/>
      <c r="EV855" s="109"/>
      <c r="EW855" s="111"/>
      <c r="EX855" s="109"/>
      <c r="EY855" s="109"/>
      <c r="EZ855" s="110"/>
      <c r="FA855" s="109"/>
      <c r="FB855" s="111"/>
      <c r="FC855" s="109"/>
      <c r="FD855" s="109"/>
      <c r="FE855" s="110"/>
      <c r="FF855" s="109"/>
      <c r="FG855" s="111"/>
      <c r="FH855" s="109"/>
      <c r="FI855" s="109"/>
      <c r="FJ855" s="110"/>
      <c r="FK855" s="109"/>
      <c r="FL855" s="111"/>
      <c r="FM855" s="109"/>
      <c r="FN855" s="109"/>
      <c r="FO855" s="110"/>
      <c r="FP855" s="109"/>
      <c r="FQ855" s="111"/>
      <c r="FR855" s="109"/>
      <c r="FS855" s="109"/>
      <c r="FT855" s="110"/>
      <c r="FU855" s="109"/>
      <c r="FV855" s="111"/>
      <c r="FW855" s="109"/>
      <c r="FX855" s="109"/>
      <c r="FY855" s="110"/>
      <c r="FZ855" s="109"/>
      <c r="GA855" s="111"/>
      <c r="GB855" s="109"/>
      <c r="GC855" s="109"/>
      <c r="GD855" s="110"/>
      <c r="GE855" s="109"/>
      <c r="GF855" s="111"/>
      <c r="GG855" s="109"/>
      <c r="GH855" s="109"/>
      <c r="GI855" s="110"/>
      <c r="GJ855" s="109"/>
      <c r="GK855" s="111"/>
      <c r="GL855" s="109"/>
      <c r="GM855" s="109"/>
      <c r="GN855" s="110"/>
      <c r="GO855" s="109"/>
      <c r="GP855" s="111"/>
      <c r="GQ855" s="109"/>
      <c r="GR855" s="109"/>
      <c r="GS855" s="110"/>
      <c r="GT855" s="109"/>
      <c r="GU855" s="111"/>
      <c r="GV855" s="109"/>
      <c r="GW855" s="109"/>
      <c r="GX855" s="110"/>
      <c r="GY855" s="109"/>
      <c r="GZ855" s="111"/>
      <c r="HA855" s="109"/>
      <c r="HB855" s="109"/>
      <c r="HC855" s="110"/>
      <c r="HD855" s="109"/>
      <c r="HE855" s="111"/>
      <c r="HF855" s="109"/>
      <c r="HG855" s="109"/>
      <c r="HH855" s="110"/>
      <c r="HI855" s="109"/>
      <c r="HJ855" s="111"/>
      <c r="HK855" s="109"/>
      <c r="HL855" s="109"/>
      <c r="HM855" s="110"/>
      <c r="HN855" s="109"/>
      <c r="HO855" s="111"/>
      <c r="HP855" s="109"/>
      <c r="HQ855" s="109"/>
      <c r="HR855" s="110"/>
      <c r="HS855" s="109"/>
      <c r="HT855" s="111"/>
      <c r="HU855" s="109"/>
      <c r="HV855" s="109"/>
      <c r="HW855" s="110"/>
      <c r="HX855" s="109"/>
      <c r="HY855" s="111"/>
      <c r="HZ855" s="109"/>
      <c r="IA855" s="109"/>
      <c r="IB855" s="110"/>
      <c r="IC855" s="109"/>
      <c r="ID855" s="111"/>
      <c r="IE855" s="109"/>
      <c r="IF855" s="109"/>
      <c r="IG855" s="110"/>
      <c r="IH855" s="109"/>
      <c r="II855" s="111"/>
      <c r="IJ855" s="109"/>
      <c r="IK855" s="109"/>
      <c r="IL855" s="110"/>
      <c r="IM855" s="109"/>
      <c r="IN855" s="111"/>
      <c r="IO855" s="109"/>
      <c r="IP855" s="109"/>
      <c r="IQ855" s="110"/>
      <c r="IR855" s="109"/>
      <c r="IS855" s="111"/>
      <c r="IT855" s="109"/>
      <c r="IU855" s="109"/>
      <c r="IV855" s="110"/>
    </row>
    <row r="856" spans="1:256" s="123" customFormat="1" ht="14.25">
      <c r="A856" s="134">
        <v>37097</v>
      </c>
      <c r="B856" s="111">
        <v>35.9286</v>
      </c>
      <c r="C856" s="111">
        <f t="shared" si="14"/>
        <v>0.035928600000000005</v>
      </c>
      <c r="D856" s="111">
        <v>20.7692</v>
      </c>
      <c r="E856" s="111">
        <v>23.8507</v>
      </c>
      <c r="F856" s="131"/>
      <c r="G856" s="109"/>
      <c r="H856" s="111"/>
      <c r="I856" s="109"/>
      <c r="J856" s="109"/>
      <c r="K856" s="110"/>
      <c r="L856" s="109"/>
      <c r="M856" s="111"/>
      <c r="N856" s="109"/>
      <c r="O856" s="109"/>
      <c r="P856" s="110"/>
      <c r="Q856" s="109"/>
      <c r="R856" s="111"/>
      <c r="S856" s="109"/>
      <c r="T856" s="109"/>
      <c r="U856" s="110"/>
      <c r="V856" s="109"/>
      <c r="W856" s="111"/>
      <c r="X856" s="109"/>
      <c r="Y856" s="109"/>
      <c r="Z856" s="110"/>
      <c r="AA856" s="109"/>
      <c r="AB856" s="111"/>
      <c r="AC856" s="109"/>
      <c r="AD856" s="109"/>
      <c r="AE856" s="110"/>
      <c r="AF856" s="109"/>
      <c r="AG856" s="111"/>
      <c r="AH856" s="109"/>
      <c r="AI856" s="109"/>
      <c r="AJ856" s="110"/>
      <c r="AK856" s="109"/>
      <c r="AL856" s="111"/>
      <c r="AM856" s="109"/>
      <c r="AN856" s="109"/>
      <c r="AO856" s="110"/>
      <c r="AP856" s="109"/>
      <c r="AQ856" s="111"/>
      <c r="AR856" s="109"/>
      <c r="AS856" s="109"/>
      <c r="AT856" s="110"/>
      <c r="AU856" s="109"/>
      <c r="AV856" s="111"/>
      <c r="AW856" s="109"/>
      <c r="AX856" s="109"/>
      <c r="AY856" s="110"/>
      <c r="AZ856" s="109"/>
      <c r="BA856" s="111"/>
      <c r="BB856" s="109"/>
      <c r="BC856" s="109"/>
      <c r="BD856" s="110"/>
      <c r="BE856" s="109"/>
      <c r="BF856" s="111"/>
      <c r="BG856" s="109"/>
      <c r="BH856" s="109"/>
      <c r="BI856" s="110"/>
      <c r="BJ856" s="109"/>
      <c r="BK856" s="111"/>
      <c r="BL856" s="109"/>
      <c r="BM856" s="109"/>
      <c r="BN856" s="110"/>
      <c r="BO856" s="109"/>
      <c r="BP856" s="111"/>
      <c r="BQ856" s="109"/>
      <c r="BR856" s="109"/>
      <c r="BS856" s="110"/>
      <c r="BT856" s="109"/>
      <c r="BU856" s="111"/>
      <c r="BV856" s="109"/>
      <c r="BW856" s="109"/>
      <c r="BX856" s="110"/>
      <c r="BY856" s="109"/>
      <c r="BZ856" s="111"/>
      <c r="CA856" s="109"/>
      <c r="CB856" s="109"/>
      <c r="CC856" s="110"/>
      <c r="CD856" s="109"/>
      <c r="CE856" s="111"/>
      <c r="CF856" s="109"/>
      <c r="CG856" s="109"/>
      <c r="CH856" s="110"/>
      <c r="CI856" s="109"/>
      <c r="CJ856" s="111"/>
      <c r="CK856" s="109"/>
      <c r="CL856" s="109"/>
      <c r="CM856" s="110"/>
      <c r="CN856" s="109"/>
      <c r="CO856" s="111"/>
      <c r="CP856" s="109"/>
      <c r="CQ856" s="109"/>
      <c r="CR856" s="110"/>
      <c r="CS856" s="109"/>
      <c r="CT856" s="111"/>
      <c r="CU856" s="109"/>
      <c r="CV856" s="109"/>
      <c r="CW856" s="110"/>
      <c r="CX856" s="109"/>
      <c r="CY856" s="111"/>
      <c r="CZ856" s="109"/>
      <c r="DA856" s="109"/>
      <c r="DB856" s="110"/>
      <c r="DC856" s="109"/>
      <c r="DD856" s="111"/>
      <c r="DE856" s="109"/>
      <c r="DF856" s="109"/>
      <c r="DG856" s="110"/>
      <c r="DH856" s="109"/>
      <c r="DI856" s="111"/>
      <c r="DJ856" s="109"/>
      <c r="DK856" s="109"/>
      <c r="DL856" s="110"/>
      <c r="DM856" s="109"/>
      <c r="DN856" s="111"/>
      <c r="DO856" s="109"/>
      <c r="DP856" s="109"/>
      <c r="DQ856" s="110"/>
      <c r="DR856" s="109"/>
      <c r="DS856" s="111"/>
      <c r="DT856" s="109"/>
      <c r="DU856" s="109"/>
      <c r="DV856" s="110"/>
      <c r="DW856" s="109"/>
      <c r="DX856" s="111"/>
      <c r="DY856" s="109"/>
      <c r="DZ856" s="109"/>
      <c r="EA856" s="110"/>
      <c r="EB856" s="109"/>
      <c r="EC856" s="111"/>
      <c r="ED856" s="109"/>
      <c r="EE856" s="109"/>
      <c r="EF856" s="110"/>
      <c r="EG856" s="109"/>
      <c r="EH856" s="111"/>
      <c r="EI856" s="109"/>
      <c r="EJ856" s="109"/>
      <c r="EK856" s="110"/>
      <c r="EL856" s="109"/>
      <c r="EM856" s="111"/>
      <c r="EN856" s="109"/>
      <c r="EO856" s="109"/>
      <c r="EP856" s="110"/>
      <c r="EQ856" s="109"/>
      <c r="ER856" s="111"/>
      <c r="ES856" s="109"/>
      <c r="ET856" s="109"/>
      <c r="EU856" s="110"/>
      <c r="EV856" s="109"/>
      <c r="EW856" s="111"/>
      <c r="EX856" s="109"/>
      <c r="EY856" s="109"/>
      <c r="EZ856" s="110"/>
      <c r="FA856" s="109"/>
      <c r="FB856" s="111"/>
      <c r="FC856" s="109"/>
      <c r="FD856" s="109"/>
      <c r="FE856" s="110"/>
      <c r="FF856" s="109"/>
      <c r="FG856" s="111"/>
      <c r="FH856" s="109"/>
      <c r="FI856" s="109"/>
      <c r="FJ856" s="110"/>
      <c r="FK856" s="109"/>
      <c r="FL856" s="111"/>
      <c r="FM856" s="109"/>
      <c r="FN856" s="109"/>
      <c r="FO856" s="110"/>
      <c r="FP856" s="109"/>
      <c r="FQ856" s="111"/>
      <c r="FR856" s="109"/>
      <c r="FS856" s="109"/>
      <c r="FT856" s="110"/>
      <c r="FU856" s="109"/>
      <c r="FV856" s="111"/>
      <c r="FW856" s="109"/>
      <c r="FX856" s="109"/>
      <c r="FY856" s="110"/>
      <c r="FZ856" s="109"/>
      <c r="GA856" s="111"/>
      <c r="GB856" s="109"/>
      <c r="GC856" s="109"/>
      <c r="GD856" s="110"/>
      <c r="GE856" s="109"/>
      <c r="GF856" s="111"/>
      <c r="GG856" s="109"/>
      <c r="GH856" s="109"/>
      <c r="GI856" s="110"/>
      <c r="GJ856" s="109"/>
      <c r="GK856" s="111"/>
      <c r="GL856" s="109"/>
      <c r="GM856" s="109"/>
      <c r="GN856" s="110"/>
      <c r="GO856" s="109"/>
      <c r="GP856" s="111"/>
      <c r="GQ856" s="109"/>
      <c r="GR856" s="109"/>
      <c r="GS856" s="110"/>
      <c r="GT856" s="109"/>
      <c r="GU856" s="111"/>
      <c r="GV856" s="109"/>
      <c r="GW856" s="109"/>
      <c r="GX856" s="110"/>
      <c r="GY856" s="109"/>
      <c r="GZ856" s="111"/>
      <c r="HA856" s="109"/>
      <c r="HB856" s="109"/>
      <c r="HC856" s="110"/>
      <c r="HD856" s="109"/>
      <c r="HE856" s="111"/>
      <c r="HF856" s="109"/>
      <c r="HG856" s="109"/>
      <c r="HH856" s="110"/>
      <c r="HI856" s="109"/>
      <c r="HJ856" s="111"/>
      <c r="HK856" s="109"/>
      <c r="HL856" s="109"/>
      <c r="HM856" s="110"/>
      <c r="HN856" s="109"/>
      <c r="HO856" s="111"/>
      <c r="HP856" s="109"/>
      <c r="HQ856" s="109"/>
      <c r="HR856" s="110"/>
      <c r="HS856" s="109"/>
      <c r="HT856" s="111"/>
      <c r="HU856" s="109"/>
      <c r="HV856" s="109"/>
      <c r="HW856" s="110"/>
      <c r="HX856" s="109"/>
      <c r="HY856" s="111"/>
      <c r="HZ856" s="109"/>
      <c r="IA856" s="109"/>
      <c r="IB856" s="110"/>
      <c r="IC856" s="109"/>
      <c r="ID856" s="111"/>
      <c r="IE856" s="109"/>
      <c r="IF856" s="109"/>
      <c r="IG856" s="110"/>
      <c r="IH856" s="109"/>
      <c r="II856" s="111"/>
      <c r="IJ856" s="109"/>
      <c r="IK856" s="109"/>
      <c r="IL856" s="110"/>
      <c r="IM856" s="109"/>
      <c r="IN856" s="111"/>
      <c r="IO856" s="109"/>
      <c r="IP856" s="109"/>
      <c r="IQ856" s="110"/>
      <c r="IR856" s="109"/>
      <c r="IS856" s="111"/>
      <c r="IT856" s="109"/>
      <c r="IU856" s="109"/>
      <c r="IV856" s="110"/>
    </row>
    <row r="857" spans="1:256" s="123" customFormat="1" ht="14.25">
      <c r="A857" s="134">
        <v>37098</v>
      </c>
      <c r="B857" s="111">
        <v>33.906</v>
      </c>
      <c r="C857" s="111">
        <f t="shared" si="14"/>
        <v>0.033906</v>
      </c>
      <c r="D857" s="111">
        <v>19.8044</v>
      </c>
      <c r="E857" s="111">
        <v>22.5229</v>
      </c>
      <c r="F857" s="131"/>
      <c r="G857" s="109"/>
      <c r="H857" s="111"/>
      <c r="I857" s="109"/>
      <c r="J857" s="109"/>
      <c r="K857" s="110"/>
      <c r="L857" s="109"/>
      <c r="M857" s="111"/>
      <c r="N857" s="109"/>
      <c r="O857" s="109"/>
      <c r="P857" s="110"/>
      <c r="Q857" s="109"/>
      <c r="R857" s="111"/>
      <c r="S857" s="109"/>
      <c r="T857" s="109"/>
      <c r="U857" s="110"/>
      <c r="V857" s="109"/>
      <c r="W857" s="111"/>
      <c r="X857" s="109"/>
      <c r="Y857" s="109"/>
      <c r="Z857" s="110"/>
      <c r="AA857" s="109"/>
      <c r="AB857" s="111"/>
      <c r="AC857" s="109"/>
      <c r="AD857" s="109"/>
      <c r="AE857" s="110"/>
      <c r="AF857" s="109"/>
      <c r="AG857" s="111"/>
      <c r="AH857" s="109"/>
      <c r="AI857" s="109"/>
      <c r="AJ857" s="110"/>
      <c r="AK857" s="109"/>
      <c r="AL857" s="111"/>
      <c r="AM857" s="109"/>
      <c r="AN857" s="109"/>
      <c r="AO857" s="110"/>
      <c r="AP857" s="109"/>
      <c r="AQ857" s="111"/>
      <c r="AR857" s="109"/>
      <c r="AS857" s="109"/>
      <c r="AT857" s="110"/>
      <c r="AU857" s="109"/>
      <c r="AV857" s="111"/>
      <c r="AW857" s="109"/>
      <c r="AX857" s="109"/>
      <c r="AY857" s="110"/>
      <c r="AZ857" s="109"/>
      <c r="BA857" s="111"/>
      <c r="BB857" s="109"/>
      <c r="BC857" s="109"/>
      <c r="BD857" s="110"/>
      <c r="BE857" s="109"/>
      <c r="BF857" s="111"/>
      <c r="BG857" s="109"/>
      <c r="BH857" s="109"/>
      <c r="BI857" s="110"/>
      <c r="BJ857" s="109"/>
      <c r="BK857" s="111"/>
      <c r="BL857" s="109"/>
      <c r="BM857" s="109"/>
      <c r="BN857" s="110"/>
      <c r="BO857" s="109"/>
      <c r="BP857" s="111"/>
      <c r="BQ857" s="109"/>
      <c r="BR857" s="109"/>
      <c r="BS857" s="110"/>
      <c r="BT857" s="109"/>
      <c r="BU857" s="111"/>
      <c r="BV857" s="109"/>
      <c r="BW857" s="109"/>
      <c r="BX857" s="110"/>
      <c r="BY857" s="109"/>
      <c r="BZ857" s="111"/>
      <c r="CA857" s="109"/>
      <c r="CB857" s="109"/>
      <c r="CC857" s="110"/>
      <c r="CD857" s="109"/>
      <c r="CE857" s="111"/>
      <c r="CF857" s="109"/>
      <c r="CG857" s="109"/>
      <c r="CH857" s="110"/>
      <c r="CI857" s="109"/>
      <c r="CJ857" s="111"/>
      <c r="CK857" s="109"/>
      <c r="CL857" s="109"/>
      <c r="CM857" s="110"/>
      <c r="CN857" s="109"/>
      <c r="CO857" s="111"/>
      <c r="CP857" s="109"/>
      <c r="CQ857" s="109"/>
      <c r="CR857" s="110"/>
      <c r="CS857" s="109"/>
      <c r="CT857" s="111"/>
      <c r="CU857" s="109"/>
      <c r="CV857" s="109"/>
      <c r="CW857" s="110"/>
      <c r="CX857" s="109"/>
      <c r="CY857" s="111"/>
      <c r="CZ857" s="109"/>
      <c r="DA857" s="109"/>
      <c r="DB857" s="110"/>
      <c r="DC857" s="109"/>
      <c r="DD857" s="111"/>
      <c r="DE857" s="109"/>
      <c r="DF857" s="109"/>
      <c r="DG857" s="110"/>
      <c r="DH857" s="109"/>
      <c r="DI857" s="111"/>
      <c r="DJ857" s="109"/>
      <c r="DK857" s="109"/>
      <c r="DL857" s="110"/>
      <c r="DM857" s="109"/>
      <c r="DN857" s="111"/>
      <c r="DO857" s="109"/>
      <c r="DP857" s="109"/>
      <c r="DQ857" s="110"/>
      <c r="DR857" s="109"/>
      <c r="DS857" s="111"/>
      <c r="DT857" s="109"/>
      <c r="DU857" s="109"/>
      <c r="DV857" s="110"/>
      <c r="DW857" s="109"/>
      <c r="DX857" s="111"/>
      <c r="DY857" s="109"/>
      <c r="DZ857" s="109"/>
      <c r="EA857" s="110"/>
      <c r="EB857" s="109"/>
      <c r="EC857" s="111"/>
      <c r="ED857" s="109"/>
      <c r="EE857" s="109"/>
      <c r="EF857" s="110"/>
      <c r="EG857" s="109"/>
      <c r="EH857" s="111"/>
      <c r="EI857" s="109"/>
      <c r="EJ857" s="109"/>
      <c r="EK857" s="110"/>
      <c r="EL857" s="109"/>
      <c r="EM857" s="111"/>
      <c r="EN857" s="109"/>
      <c r="EO857" s="109"/>
      <c r="EP857" s="110"/>
      <c r="EQ857" s="109"/>
      <c r="ER857" s="111"/>
      <c r="ES857" s="109"/>
      <c r="ET857" s="109"/>
      <c r="EU857" s="110"/>
      <c r="EV857" s="109"/>
      <c r="EW857" s="111"/>
      <c r="EX857" s="109"/>
      <c r="EY857" s="109"/>
      <c r="EZ857" s="110"/>
      <c r="FA857" s="109"/>
      <c r="FB857" s="111"/>
      <c r="FC857" s="109"/>
      <c r="FD857" s="109"/>
      <c r="FE857" s="110"/>
      <c r="FF857" s="109"/>
      <c r="FG857" s="111"/>
      <c r="FH857" s="109"/>
      <c r="FI857" s="109"/>
      <c r="FJ857" s="110"/>
      <c r="FK857" s="109"/>
      <c r="FL857" s="111"/>
      <c r="FM857" s="109"/>
      <c r="FN857" s="109"/>
      <c r="FO857" s="110"/>
      <c r="FP857" s="109"/>
      <c r="FQ857" s="111"/>
      <c r="FR857" s="109"/>
      <c r="FS857" s="109"/>
      <c r="FT857" s="110"/>
      <c r="FU857" s="109"/>
      <c r="FV857" s="111"/>
      <c r="FW857" s="109"/>
      <c r="FX857" s="109"/>
      <c r="FY857" s="110"/>
      <c r="FZ857" s="109"/>
      <c r="GA857" s="111"/>
      <c r="GB857" s="109"/>
      <c r="GC857" s="109"/>
      <c r="GD857" s="110"/>
      <c r="GE857" s="109"/>
      <c r="GF857" s="111"/>
      <c r="GG857" s="109"/>
      <c r="GH857" s="109"/>
      <c r="GI857" s="110"/>
      <c r="GJ857" s="109"/>
      <c r="GK857" s="111"/>
      <c r="GL857" s="109"/>
      <c r="GM857" s="109"/>
      <c r="GN857" s="110"/>
      <c r="GO857" s="109"/>
      <c r="GP857" s="111"/>
      <c r="GQ857" s="109"/>
      <c r="GR857" s="109"/>
      <c r="GS857" s="110"/>
      <c r="GT857" s="109"/>
      <c r="GU857" s="111"/>
      <c r="GV857" s="109"/>
      <c r="GW857" s="109"/>
      <c r="GX857" s="110"/>
      <c r="GY857" s="109"/>
      <c r="GZ857" s="111"/>
      <c r="HA857" s="109"/>
      <c r="HB857" s="109"/>
      <c r="HC857" s="110"/>
      <c r="HD857" s="109"/>
      <c r="HE857" s="111"/>
      <c r="HF857" s="109"/>
      <c r="HG857" s="109"/>
      <c r="HH857" s="110"/>
      <c r="HI857" s="109"/>
      <c r="HJ857" s="111"/>
      <c r="HK857" s="109"/>
      <c r="HL857" s="109"/>
      <c r="HM857" s="110"/>
      <c r="HN857" s="109"/>
      <c r="HO857" s="111"/>
      <c r="HP857" s="109"/>
      <c r="HQ857" s="109"/>
      <c r="HR857" s="110"/>
      <c r="HS857" s="109"/>
      <c r="HT857" s="111"/>
      <c r="HU857" s="109"/>
      <c r="HV857" s="109"/>
      <c r="HW857" s="110"/>
      <c r="HX857" s="109"/>
      <c r="HY857" s="111"/>
      <c r="HZ857" s="109"/>
      <c r="IA857" s="109"/>
      <c r="IB857" s="110"/>
      <c r="IC857" s="109"/>
      <c r="ID857" s="111"/>
      <c r="IE857" s="109"/>
      <c r="IF857" s="109"/>
      <c r="IG857" s="110"/>
      <c r="IH857" s="109"/>
      <c r="II857" s="111"/>
      <c r="IJ857" s="109"/>
      <c r="IK857" s="109"/>
      <c r="IL857" s="110"/>
      <c r="IM857" s="109"/>
      <c r="IN857" s="111"/>
      <c r="IO857" s="109"/>
      <c r="IP857" s="109"/>
      <c r="IQ857" s="110"/>
      <c r="IR857" s="109"/>
      <c r="IS857" s="111"/>
      <c r="IT857" s="109"/>
      <c r="IU857" s="109"/>
      <c r="IV857" s="110"/>
    </row>
    <row r="858" spans="1:256" s="123" customFormat="1" ht="14.25">
      <c r="A858" s="134">
        <v>37099</v>
      </c>
      <c r="B858" s="111">
        <v>34.4234</v>
      </c>
      <c r="C858" s="111">
        <f t="shared" si="14"/>
        <v>0.0344234</v>
      </c>
      <c r="D858" s="111">
        <v>19.97</v>
      </c>
      <c r="E858" s="111">
        <v>22.7864</v>
      </c>
      <c r="F858" s="131"/>
      <c r="G858" s="109"/>
      <c r="H858" s="111"/>
      <c r="I858" s="109"/>
      <c r="J858" s="109"/>
      <c r="K858" s="110"/>
      <c r="L858" s="109"/>
      <c r="M858" s="111"/>
      <c r="N858" s="109"/>
      <c r="O858" s="109"/>
      <c r="P858" s="110"/>
      <c r="Q858" s="109"/>
      <c r="R858" s="111"/>
      <c r="S858" s="109"/>
      <c r="T858" s="109"/>
      <c r="U858" s="110"/>
      <c r="V858" s="109"/>
      <c r="W858" s="111"/>
      <c r="X858" s="109"/>
      <c r="Y858" s="109"/>
      <c r="Z858" s="110"/>
      <c r="AA858" s="109"/>
      <c r="AB858" s="111"/>
      <c r="AC858" s="109"/>
      <c r="AD858" s="109"/>
      <c r="AE858" s="110"/>
      <c r="AF858" s="109"/>
      <c r="AG858" s="111"/>
      <c r="AH858" s="109"/>
      <c r="AI858" s="109"/>
      <c r="AJ858" s="110"/>
      <c r="AK858" s="109"/>
      <c r="AL858" s="111"/>
      <c r="AM858" s="109"/>
      <c r="AN858" s="109"/>
      <c r="AO858" s="110"/>
      <c r="AP858" s="109"/>
      <c r="AQ858" s="111"/>
      <c r="AR858" s="109"/>
      <c r="AS858" s="109"/>
      <c r="AT858" s="110"/>
      <c r="AU858" s="109"/>
      <c r="AV858" s="111"/>
      <c r="AW858" s="109"/>
      <c r="AX858" s="109"/>
      <c r="AY858" s="110"/>
      <c r="AZ858" s="109"/>
      <c r="BA858" s="111"/>
      <c r="BB858" s="109"/>
      <c r="BC858" s="109"/>
      <c r="BD858" s="110"/>
      <c r="BE858" s="109"/>
      <c r="BF858" s="111"/>
      <c r="BG858" s="109"/>
      <c r="BH858" s="109"/>
      <c r="BI858" s="110"/>
      <c r="BJ858" s="109"/>
      <c r="BK858" s="111"/>
      <c r="BL858" s="109"/>
      <c r="BM858" s="109"/>
      <c r="BN858" s="110"/>
      <c r="BO858" s="109"/>
      <c r="BP858" s="111"/>
      <c r="BQ858" s="109"/>
      <c r="BR858" s="109"/>
      <c r="BS858" s="110"/>
      <c r="BT858" s="109"/>
      <c r="BU858" s="111"/>
      <c r="BV858" s="109"/>
      <c r="BW858" s="109"/>
      <c r="BX858" s="110"/>
      <c r="BY858" s="109"/>
      <c r="BZ858" s="111"/>
      <c r="CA858" s="109"/>
      <c r="CB858" s="109"/>
      <c r="CC858" s="110"/>
      <c r="CD858" s="109"/>
      <c r="CE858" s="111"/>
      <c r="CF858" s="109"/>
      <c r="CG858" s="109"/>
      <c r="CH858" s="110"/>
      <c r="CI858" s="109"/>
      <c r="CJ858" s="111"/>
      <c r="CK858" s="109"/>
      <c r="CL858" s="109"/>
      <c r="CM858" s="110"/>
      <c r="CN858" s="109"/>
      <c r="CO858" s="111"/>
      <c r="CP858" s="109"/>
      <c r="CQ858" s="109"/>
      <c r="CR858" s="110"/>
      <c r="CS858" s="109"/>
      <c r="CT858" s="111"/>
      <c r="CU858" s="109"/>
      <c r="CV858" s="109"/>
      <c r="CW858" s="110"/>
      <c r="CX858" s="109"/>
      <c r="CY858" s="111"/>
      <c r="CZ858" s="109"/>
      <c r="DA858" s="109"/>
      <c r="DB858" s="110"/>
      <c r="DC858" s="109"/>
      <c r="DD858" s="111"/>
      <c r="DE858" s="109"/>
      <c r="DF858" s="109"/>
      <c r="DG858" s="110"/>
      <c r="DH858" s="109"/>
      <c r="DI858" s="111"/>
      <c r="DJ858" s="109"/>
      <c r="DK858" s="109"/>
      <c r="DL858" s="110"/>
      <c r="DM858" s="109"/>
      <c r="DN858" s="111"/>
      <c r="DO858" s="109"/>
      <c r="DP858" s="109"/>
      <c r="DQ858" s="110"/>
      <c r="DR858" s="109"/>
      <c r="DS858" s="111"/>
      <c r="DT858" s="109"/>
      <c r="DU858" s="109"/>
      <c r="DV858" s="110"/>
      <c r="DW858" s="109"/>
      <c r="DX858" s="111"/>
      <c r="DY858" s="109"/>
      <c r="DZ858" s="109"/>
      <c r="EA858" s="110"/>
      <c r="EB858" s="109"/>
      <c r="EC858" s="111"/>
      <c r="ED858" s="109"/>
      <c r="EE858" s="109"/>
      <c r="EF858" s="110"/>
      <c r="EG858" s="109"/>
      <c r="EH858" s="111"/>
      <c r="EI858" s="109"/>
      <c r="EJ858" s="109"/>
      <c r="EK858" s="110"/>
      <c r="EL858" s="109"/>
      <c r="EM858" s="111"/>
      <c r="EN858" s="109"/>
      <c r="EO858" s="109"/>
      <c r="EP858" s="110"/>
      <c r="EQ858" s="109"/>
      <c r="ER858" s="111"/>
      <c r="ES858" s="109"/>
      <c r="ET858" s="109"/>
      <c r="EU858" s="110"/>
      <c r="EV858" s="109"/>
      <c r="EW858" s="111"/>
      <c r="EX858" s="109"/>
      <c r="EY858" s="109"/>
      <c r="EZ858" s="110"/>
      <c r="FA858" s="109"/>
      <c r="FB858" s="111"/>
      <c r="FC858" s="109"/>
      <c r="FD858" s="109"/>
      <c r="FE858" s="110"/>
      <c r="FF858" s="109"/>
      <c r="FG858" s="111"/>
      <c r="FH858" s="109"/>
      <c r="FI858" s="109"/>
      <c r="FJ858" s="110"/>
      <c r="FK858" s="109"/>
      <c r="FL858" s="111"/>
      <c r="FM858" s="109"/>
      <c r="FN858" s="109"/>
      <c r="FO858" s="110"/>
      <c r="FP858" s="109"/>
      <c r="FQ858" s="111"/>
      <c r="FR858" s="109"/>
      <c r="FS858" s="109"/>
      <c r="FT858" s="110"/>
      <c r="FU858" s="109"/>
      <c r="FV858" s="111"/>
      <c r="FW858" s="109"/>
      <c r="FX858" s="109"/>
      <c r="FY858" s="110"/>
      <c r="FZ858" s="109"/>
      <c r="GA858" s="111"/>
      <c r="GB858" s="109"/>
      <c r="GC858" s="109"/>
      <c r="GD858" s="110"/>
      <c r="GE858" s="109"/>
      <c r="GF858" s="111"/>
      <c r="GG858" s="109"/>
      <c r="GH858" s="109"/>
      <c r="GI858" s="110"/>
      <c r="GJ858" s="109"/>
      <c r="GK858" s="111"/>
      <c r="GL858" s="109"/>
      <c r="GM858" s="109"/>
      <c r="GN858" s="110"/>
      <c r="GO858" s="109"/>
      <c r="GP858" s="111"/>
      <c r="GQ858" s="109"/>
      <c r="GR858" s="109"/>
      <c r="GS858" s="110"/>
      <c r="GT858" s="109"/>
      <c r="GU858" s="111"/>
      <c r="GV858" s="109"/>
      <c r="GW858" s="109"/>
      <c r="GX858" s="110"/>
      <c r="GY858" s="109"/>
      <c r="GZ858" s="111"/>
      <c r="HA858" s="109"/>
      <c r="HB858" s="109"/>
      <c r="HC858" s="110"/>
      <c r="HD858" s="109"/>
      <c r="HE858" s="111"/>
      <c r="HF858" s="109"/>
      <c r="HG858" s="109"/>
      <c r="HH858" s="110"/>
      <c r="HI858" s="109"/>
      <c r="HJ858" s="111"/>
      <c r="HK858" s="109"/>
      <c r="HL858" s="109"/>
      <c r="HM858" s="110"/>
      <c r="HN858" s="109"/>
      <c r="HO858" s="111"/>
      <c r="HP858" s="109"/>
      <c r="HQ858" s="109"/>
      <c r="HR858" s="110"/>
      <c r="HS858" s="109"/>
      <c r="HT858" s="111"/>
      <c r="HU858" s="109"/>
      <c r="HV858" s="109"/>
      <c r="HW858" s="110"/>
      <c r="HX858" s="109"/>
      <c r="HY858" s="111"/>
      <c r="HZ858" s="109"/>
      <c r="IA858" s="109"/>
      <c r="IB858" s="110"/>
      <c r="IC858" s="109"/>
      <c r="ID858" s="111"/>
      <c r="IE858" s="109"/>
      <c r="IF858" s="109"/>
      <c r="IG858" s="110"/>
      <c r="IH858" s="109"/>
      <c r="II858" s="111"/>
      <c r="IJ858" s="109"/>
      <c r="IK858" s="109"/>
      <c r="IL858" s="110"/>
      <c r="IM858" s="109"/>
      <c r="IN858" s="111"/>
      <c r="IO858" s="109"/>
      <c r="IP858" s="109"/>
      <c r="IQ858" s="110"/>
      <c r="IR858" s="109"/>
      <c r="IS858" s="111"/>
      <c r="IT858" s="109"/>
      <c r="IU858" s="109"/>
      <c r="IV858" s="110"/>
    </row>
    <row r="859" spans="1:256" s="123" customFormat="1" ht="14.25">
      <c r="A859" s="134">
        <v>37102</v>
      </c>
      <c r="B859" s="111">
        <v>33.9451</v>
      </c>
      <c r="C859" s="111">
        <f t="shared" si="14"/>
        <v>0.0339451</v>
      </c>
      <c r="D859" s="111">
        <v>19.7355</v>
      </c>
      <c r="E859" s="111">
        <v>22.5085</v>
      </c>
      <c r="F859" s="131"/>
      <c r="G859" s="109"/>
      <c r="H859" s="111"/>
      <c r="I859" s="109"/>
      <c r="J859" s="109"/>
      <c r="K859" s="110"/>
      <c r="L859" s="109"/>
      <c r="M859" s="111"/>
      <c r="N859" s="109"/>
      <c r="O859" s="109"/>
      <c r="P859" s="110"/>
      <c r="Q859" s="109"/>
      <c r="R859" s="111"/>
      <c r="S859" s="109"/>
      <c r="T859" s="109"/>
      <c r="U859" s="110"/>
      <c r="V859" s="109"/>
      <c r="W859" s="111"/>
      <c r="X859" s="109"/>
      <c r="Y859" s="109"/>
      <c r="Z859" s="110"/>
      <c r="AA859" s="109"/>
      <c r="AB859" s="111"/>
      <c r="AC859" s="109"/>
      <c r="AD859" s="109"/>
      <c r="AE859" s="110"/>
      <c r="AF859" s="109"/>
      <c r="AG859" s="111"/>
      <c r="AH859" s="109"/>
      <c r="AI859" s="109"/>
      <c r="AJ859" s="110"/>
      <c r="AK859" s="109"/>
      <c r="AL859" s="111"/>
      <c r="AM859" s="109"/>
      <c r="AN859" s="109"/>
      <c r="AO859" s="110"/>
      <c r="AP859" s="109"/>
      <c r="AQ859" s="111"/>
      <c r="AR859" s="109"/>
      <c r="AS859" s="109"/>
      <c r="AT859" s="110"/>
      <c r="AU859" s="109"/>
      <c r="AV859" s="111"/>
      <c r="AW859" s="109"/>
      <c r="AX859" s="109"/>
      <c r="AY859" s="110"/>
      <c r="AZ859" s="109"/>
      <c r="BA859" s="111"/>
      <c r="BB859" s="109"/>
      <c r="BC859" s="109"/>
      <c r="BD859" s="110"/>
      <c r="BE859" s="109"/>
      <c r="BF859" s="111"/>
      <c r="BG859" s="109"/>
      <c r="BH859" s="109"/>
      <c r="BI859" s="110"/>
      <c r="BJ859" s="109"/>
      <c r="BK859" s="111"/>
      <c r="BL859" s="109"/>
      <c r="BM859" s="109"/>
      <c r="BN859" s="110"/>
      <c r="BO859" s="109"/>
      <c r="BP859" s="111"/>
      <c r="BQ859" s="109"/>
      <c r="BR859" s="109"/>
      <c r="BS859" s="110"/>
      <c r="BT859" s="109"/>
      <c r="BU859" s="111"/>
      <c r="BV859" s="109"/>
      <c r="BW859" s="109"/>
      <c r="BX859" s="110"/>
      <c r="BY859" s="109"/>
      <c r="BZ859" s="111"/>
      <c r="CA859" s="109"/>
      <c r="CB859" s="109"/>
      <c r="CC859" s="110"/>
      <c r="CD859" s="109"/>
      <c r="CE859" s="111"/>
      <c r="CF859" s="109"/>
      <c r="CG859" s="109"/>
      <c r="CH859" s="110"/>
      <c r="CI859" s="109"/>
      <c r="CJ859" s="111"/>
      <c r="CK859" s="109"/>
      <c r="CL859" s="109"/>
      <c r="CM859" s="110"/>
      <c r="CN859" s="109"/>
      <c r="CO859" s="111"/>
      <c r="CP859" s="109"/>
      <c r="CQ859" s="109"/>
      <c r="CR859" s="110"/>
      <c r="CS859" s="109"/>
      <c r="CT859" s="111"/>
      <c r="CU859" s="109"/>
      <c r="CV859" s="109"/>
      <c r="CW859" s="110"/>
      <c r="CX859" s="109"/>
      <c r="CY859" s="111"/>
      <c r="CZ859" s="109"/>
      <c r="DA859" s="109"/>
      <c r="DB859" s="110"/>
      <c r="DC859" s="109"/>
      <c r="DD859" s="111"/>
      <c r="DE859" s="109"/>
      <c r="DF859" s="109"/>
      <c r="DG859" s="110"/>
      <c r="DH859" s="109"/>
      <c r="DI859" s="111"/>
      <c r="DJ859" s="109"/>
      <c r="DK859" s="109"/>
      <c r="DL859" s="110"/>
      <c r="DM859" s="109"/>
      <c r="DN859" s="111"/>
      <c r="DO859" s="109"/>
      <c r="DP859" s="109"/>
      <c r="DQ859" s="110"/>
      <c r="DR859" s="109"/>
      <c r="DS859" s="111"/>
      <c r="DT859" s="109"/>
      <c r="DU859" s="109"/>
      <c r="DV859" s="110"/>
      <c r="DW859" s="109"/>
      <c r="DX859" s="111"/>
      <c r="DY859" s="109"/>
      <c r="DZ859" s="109"/>
      <c r="EA859" s="110"/>
      <c r="EB859" s="109"/>
      <c r="EC859" s="111"/>
      <c r="ED859" s="109"/>
      <c r="EE859" s="109"/>
      <c r="EF859" s="110"/>
      <c r="EG859" s="109"/>
      <c r="EH859" s="111"/>
      <c r="EI859" s="109"/>
      <c r="EJ859" s="109"/>
      <c r="EK859" s="110"/>
      <c r="EL859" s="109"/>
      <c r="EM859" s="111"/>
      <c r="EN859" s="109"/>
      <c r="EO859" s="109"/>
      <c r="EP859" s="110"/>
      <c r="EQ859" s="109"/>
      <c r="ER859" s="111"/>
      <c r="ES859" s="109"/>
      <c r="ET859" s="109"/>
      <c r="EU859" s="110"/>
      <c r="EV859" s="109"/>
      <c r="EW859" s="111"/>
      <c r="EX859" s="109"/>
      <c r="EY859" s="109"/>
      <c r="EZ859" s="110"/>
      <c r="FA859" s="109"/>
      <c r="FB859" s="111"/>
      <c r="FC859" s="109"/>
      <c r="FD859" s="109"/>
      <c r="FE859" s="110"/>
      <c r="FF859" s="109"/>
      <c r="FG859" s="111"/>
      <c r="FH859" s="109"/>
      <c r="FI859" s="109"/>
      <c r="FJ859" s="110"/>
      <c r="FK859" s="109"/>
      <c r="FL859" s="111"/>
      <c r="FM859" s="109"/>
      <c r="FN859" s="109"/>
      <c r="FO859" s="110"/>
      <c r="FP859" s="109"/>
      <c r="FQ859" s="111"/>
      <c r="FR859" s="109"/>
      <c r="FS859" s="109"/>
      <c r="FT859" s="110"/>
      <c r="FU859" s="109"/>
      <c r="FV859" s="111"/>
      <c r="FW859" s="109"/>
      <c r="FX859" s="109"/>
      <c r="FY859" s="110"/>
      <c r="FZ859" s="109"/>
      <c r="GA859" s="111"/>
      <c r="GB859" s="109"/>
      <c r="GC859" s="109"/>
      <c r="GD859" s="110"/>
      <c r="GE859" s="109"/>
      <c r="GF859" s="111"/>
      <c r="GG859" s="109"/>
      <c r="GH859" s="109"/>
      <c r="GI859" s="110"/>
      <c r="GJ859" s="109"/>
      <c r="GK859" s="111"/>
      <c r="GL859" s="109"/>
      <c r="GM859" s="109"/>
      <c r="GN859" s="110"/>
      <c r="GO859" s="109"/>
      <c r="GP859" s="111"/>
      <c r="GQ859" s="109"/>
      <c r="GR859" s="109"/>
      <c r="GS859" s="110"/>
      <c r="GT859" s="109"/>
      <c r="GU859" s="111"/>
      <c r="GV859" s="109"/>
      <c r="GW859" s="109"/>
      <c r="GX859" s="110"/>
      <c r="GY859" s="109"/>
      <c r="GZ859" s="111"/>
      <c r="HA859" s="109"/>
      <c r="HB859" s="109"/>
      <c r="HC859" s="110"/>
      <c r="HD859" s="109"/>
      <c r="HE859" s="111"/>
      <c r="HF859" s="109"/>
      <c r="HG859" s="109"/>
      <c r="HH859" s="110"/>
      <c r="HI859" s="109"/>
      <c r="HJ859" s="111"/>
      <c r="HK859" s="109"/>
      <c r="HL859" s="109"/>
      <c r="HM859" s="110"/>
      <c r="HN859" s="109"/>
      <c r="HO859" s="111"/>
      <c r="HP859" s="109"/>
      <c r="HQ859" s="109"/>
      <c r="HR859" s="110"/>
      <c r="HS859" s="109"/>
      <c r="HT859" s="111"/>
      <c r="HU859" s="109"/>
      <c r="HV859" s="109"/>
      <c r="HW859" s="110"/>
      <c r="HX859" s="109"/>
      <c r="HY859" s="111"/>
      <c r="HZ859" s="109"/>
      <c r="IA859" s="109"/>
      <c r="IB859" s="110"/>
      <c r="IC859" s="109"/>
      <c r="ID859" s="111"/>
      <c r="IE859" s="109"/>
      <c r="IF859" s="109"/>
      <c r="IG859" s="110"/>
      <c r="IH859" s="109"/>
      <c r="II859" s="111"/>
      <c r="IJ859" s="109"/>
      <c r="IK859" s="109"/>
      <c r="IL859" s="110"/>
      <c r="IM859" s="109"/>
      <c r="IN859" s="111"/>
      <c r="IO859" s="109"/>
      <c r="IP859" s="109"/>
      <c r="IQ859" s="110"/>
      <c r="IR859" s="109"/>
      <c r="IS859" s="111"/>
      <c r="IT859" s="109"/>
      <c r="IU859" s="109"/>
      <c r="IV859" s="110"/>
    </row>
    <row r="860" spans="1:256" s="123" customFormat="1" ht="14.25">
      <c r="A860" s="134">
        <v>37103</v>
      </c>
      <c r="B860" s="111">
        <v>35.9052</v>
      </c>
      <c r="C860" s="111">
        <f t="shared" si="14"/>
        <v>0.0359052</v>
      </c>
      <c r="D860" s="111">
        <v>20.7891</v>
      </c>
      <c r="E860" s="111">
        <v>23.7563</v>
      </c>
      <c r="F860" s="131"/>
      <c r="G860" s="109"/>
      <c r="H860" s="111"/>
      <c r="I860" s="109"/>
      <c r="J860" s="109"/>
      <c r="K860" s="110"/>
      <c r="L860" s="109"/>
      <c r="M860" s="111"/>
      <c r="N860" s="109"/>
      <c r="O860" s="109"/>
      <c r="P860" s="110"/>
      <c r="Q860" s="109"/>
      <c r="R860" s="111"/>
      <c r="S860" s="109"/>
      <c r="T860" s="109"/>
      <c r="U860" s="110"/>
      <c r="V860" s="109"/>
      <c r="W860" s="111"/>
      <c r="X860" s="109"/>
      <c r="Y860" s="109"/>
      <c r="Z860" s="110"/>
      <c r="AA860" s="109"/>
      <c r="AB860" s="111"/>
      <c r="AC860" s="109"/>
      <c r="AD860" s="109"/>
      <c r="AE860" s="110"/>
      <c r="AF860" s="109"/>
      <c r="AG860" s="111"/>
      <c r="AH860" s="109"/>
      <c r="AI860" s="109"/>
      <c r="AJ860" s="110"/>
      <c r="AK860" s="109"/>
      <c r="AL860" s="111"/>
      <c r="AM860" s="109"/>
      <c r="AN860" s="109"/>
      <c r="AO860" s="110"/>
      <c r="AP860" s="109"/>
      <c r="AQ860" s="111"/>
      <c r="AR860" s="109"/>
      <c r="AS860" s="109"/>
      <c r="AT860" s="110"/>
      <c r="AU860" s="109"/>
      <c r="AV860" s="111"/>
      <c r="AW860" s="109"/>
      <c r="AX860" s="109"/>
      <c r="AY860" s="110"/>
      <c r="AZ860" s="109"/>
      <c r="BA860" s="111"/>
      <c r="BB860" s="109"/>
      <c r="BC860" s="109"/>
      <c r="BD860" s="110"/>
      <c r="BE860" s="109"/>
      <c r="BF860" s="111"/>
      <c r="BG860" s="109"/>
      <c r="BH860" s="109"/>
      <c r="BI860" s="110"/>
      <c r="BJ860" s="109"/>
      <c r="BK860" s="111"/>
      <c r="BL860" s="109"/>
      <c r="BM860" s="109"/>
      <c r="BN860" s="110"/>
      <c r="BO860" s="109"/>
      <c r="BP860" s="111"/>
      <c r="BQ860" s="109"/>
      <c r="BR860" s="109"/>
      <c r="BS860" s="110"/>
      <c r="BT860" s="109"/>
      <c r="BU860" s="111"/>
      <c r="BV860" s="109"/>
      <c r="BW860" s="109"/>
      <c r="BX860" s="110"/>
      <c r="BY860" s="109"/>
      <c r="BZ860" s="111"/>
      <c r="CA860" s="109"/>
      <c r="CB860" s="109"/>
      <c r="CC860" s="110"/>
      <c r="CD860" s="109"/>
      <c r="CE860" s="111"/>
      <c r="CF860" s="109"/>
      <c r="CG860" s="109"/>
      <c r="CH860" s="110"/>
      <c r="CI860" s="109"/>
      <c r="CJ860" s="111"/>
      <c r="CK860" s="109"/>
      <c r="CL860" s="109"/>
      <c r="CM860" s="110"/>
      <c r="CN860" s="109"/>
      <c r="CO860" s="111"/>
      <c r="CP860" s="109"/>
      <c r="CQ860" s="109"/>
      <c r="CR860" s="110"/>
      <c r="CS860" s="109"/>
      <c r="CT860" s="111"/>
      <c r="CU860" s="109"/>
      <c r="CV860" s="109"/>
      <c r="CW860" s="110"/>
      <c r="CX860" s="109"/>
      <c r="CY860" s="111"/>
      <c r="CZ860" s="109"/>
      <c r="DA860" s="109"/>
      <c r="DB860" s="110"/>
      <c r="DC860" s="109"/>
      <c r="DD860" s="111"/>
      <c r="DE860" s="109"/>
      <c r="DF860" s="109"/>
      <c r="DG860" s="110"/>
      <c r="DH860" s="109"/>
      <c r="DI860" s="111"/>
      <c r="DJ860" s="109"/>
      <c r="DK860" s="109"/>
      <c r="DL860" s="110"/>
      <c r="DM860" s="109"/>
      <c r="DN860" s="111"/>
      <c r="DO860" s="109"/>
      <c r="DP860" s="109"/>
      <c r="DQ860" s="110"/>
      <c r="DR860" s="109"/>
      <c r="DS860" s="111"/>
      <c r="DT860" s="109"/>
      <c r="DU860" s="109"/>
      <c r="DV860" s="110"/>
      <c r="DW860" s="109"/>
      <c r="DX860" s="111"/>
      <c r="DY860" s="109"/>
      <c r="DZ860" s="109"/>
      <c r="EA860" s="110"/>
      <c r="EB860" s="109"/>
      <c r="EC860" s="111"/>
      <c r="ED860" s="109"/>
      <c r="EE860" s="109"/>
      <c r="EF860" s="110"/>
      <c r="EG860" s="109"/>
      <c r="EH860" s="111"/>
      <c r="EI860" s="109"/>
      <c r="EJ860" s="109"/>
      <c r="EK860" s="110"/>
      <c r="EL860" s="109"/>
      <c r="EM860" s="111"/>
      <c r="EN860" s="109"/>
      <c r="EO860" s="109"/>
      <c r="EP860" s="110"/>
      <c r="EQ860" s="109"/>
      <c r="ER860" s="111"/>
      <c r="ES860" s="109"/>
      <c r="ET860" s="109"/>
      <c r="EU860" s="110"/>
      <c r="EV860" s="109"/>
      <c r="EW860" s="111"/>
      <c r="EX860" s="109"/>
      <c r="EY860" s="109"/>
      <c r="EZ860" s="110"/>
      <c r="FA860" s="109"/>
      <c r="FB860" s="111"/>
      <c r="FC860" s="109"/>
      <c r="FD860" s="109"/>
      <c r="FE860" s="110"/>
      <c r="FF860" s="109"/>
      <c r="FG860" s="111"/>
      <c r="FH860" s="109"/>
      <c r="FI860" s="109"/>
      <c r="FJ860" s="110"/>
      <c r="FK860" s="109"/>
      <c r="FL860" s="111"/>
      <c r="FM860" s="109"/>
      <c r="FN860" s="109"/>
      <c r="FO860" s="110"/>
      <c r="FP860" s="109"/>
      <c r="FQ860" s="111"/>
      <c r="FR860" s="109"/>
      <c r="FS860" s="109"/>
      <c r="FT860" s="110"/>
      <c r="FU860" s="109"/>
      <c r="FV860" s="111"/>
      <c r="FW860" s="109"/>
      <c r="FX860" s="109"/>
      <c r="FY860" s="110"/>
      <c r="FZ860" s="109"/>
      <c r="GA860" s="111"/>
      <c r="GB860" s="109"/>
      <c r="GC860" s="109"/>
      <c r="GD860" s="110"/>
      <c r="GE860" s="109"/>
      <c r="GF860" s="111"/>
      <c r="GG860" s="109"/>
      <c r="GH860" s="109"/>
      <c r="GI860" s="110"/>
      <c r="GJ860" s="109"/>
      <c r="GK860" s="111"/>
      <c r="GL860" s="109"/>
      <c r="GM860" s="109"/>
      <c r="GN860" s="110"/>
      <c r="GO860" s="109"/>
      <c r="GP860" s="111"/>
      <c r="GQ860" s="109"/>
      <c r="GR860" s="109"/>
      <c r="GS860" s="110"/>
      <c r="GT860" s="109"/>
      <c r="GU860" s="111"/>
      <c r="GV860" s="109"/>
      <c r="GW860" s="109"/>
      <c r="GX860" s="110"/>
      <c r="GY860" s="109"/>
      <c r="GZ860" s="111"/>
      <c r="HA860" s="109"/>
      <c r="HB860" s="109"/>
      <c r="HC860" s="110"/>
      <c r="HD860" s="109"/>
      <c r="HE860" s="111"/>
      <c r="HF860" s="109"/>
      <c r="HG860" s="109"/>
      <c r="HH860" s="110"/>
      <c r="HI860" s="109"/>
      <c r="HJ860" s="111"/>
      <c r="HK860" s="109"/>
      <c r="HL860" s="109"/>
      <c r="HM860" s="110"/>
      <c r="HN860" s="109"/>
      <c r="HO860" s="111"/>
      <c r="HP860" s="109"/>
      <c r="HQ860" s="109"/>
      <c r="HR860" s="110"/>
      <c r="HS860" s="109"/>
      <c r="HT860" s="111"/>
      <c r="HU860" s="109"/>
      <c r="HV860" s="109"/>
      <c r="HW860" s="110"/>
      <c r="HX860" s="109"/>
      <c r="HY860" s="111"/>
      <c r="HZ860" s="109"/>
      <c r="IA860" s="109"/>
      <c r="IB860" s="110"/>
      <c r="IC860" s="109"/>
      <c r="ID860" s="111"/>
      <c r="IE860" s="109"/>
      <c r="IF860" s="109"/>
      <c r="IG860" s="110"/>
      <c r="IH860" s="109"/>
      <c r="II860" s="111"/>
      <c r="IJ860" s="109"/>
      <c r="IK860" s="109"/>
      <c r="IL860" s="110"/>
      <c r="IM860" s="109"/>
      <c r="IN860" s="111"/>
      <c r="IO860" s="109"/>
      <c r="IP860" s="109"/>
      <c r="IQ860" s="110"/>
      <c r="IR860" s="109"/>
      <c r="IS860" s="111"/>
      <c r="IT860" s="109"/>
      <c r="IU860" s="109"/>
      <c r="IV860" s="110"/>
    </row>
    <row r="861" spans="1:256" s="123" customFormat="1" ht="14.25">
      <c r="A861" s="134">
        <v>37105</v>
      </c>
      <c r="B861" s="111">
        <v>36.6204</v>
      </c>
      <c r="C861" s="111">
        <f t="shared" si="14"/>
        <v>0.0366204</v>
      </c>
      <c r="D861" s="111">
        <v>21.2298</v>
      </c>
      <c r="E861" s="111">
        <v>24.2487</v>
      </c>
      <c r="F861" s="131"/>
      <c r="G861" s="109"/>
      <c r="H861" s="111"/>
      <c r="I861" s="109"/>
      <c r="J861" s="109"/>
      <c r="K861" s="110"/>
      <c r="L861" s="109"/>
      <c r="M861" s="111"/>
      <c r="N861" s="109"/>
      <c r="O861" s="109"/>
      <c r="P861" s="110"/>
      <c r="Q861" s="109"/>
      <c r="R861" s="111"/>
      <c r="S861" s="109"/>
      <c r="T861" s="109"/>
      <c r="U861" s="110"/>
      <c r="V861" s="109"/>
      <c r="W861" s="111"/>
      <c r="X861" s="109"/>
      <c r="Y861" s="109"/>
      <c r="Z861" s="110"/>
      <c r="AA861" s="109"/>
      <c r="AB861" s="111"/>
      <c r="AC861" s="109"/>
      <c r="AD861" s="109"/>
      <c r="AE861" s="110"/>
      <c r="AF861" s="109"/>
      <c r="AG861" s="111"/>
      <c r="AH861" s="109"/>
      <c r="AI861" s="109"/>
      <c r="AJ861" s="110"/>
      <c r="AK861" s="109"/>
      <c r="AL861" s="111"/>
      <c r="AM861" s="109"/>
      <c r="AN861" s="109"/>
      <c r="AO861" s="110"/>
      <c r="AP861" s="109"/>
      <c r="AQ861" s="111"/>
      <c r="AR861" s="109"/>
      <c r="AS861" s="109"/>
      <c r="AT861" s="110"/>
      <c r="AU861" s="109"/>
      <c r="AV861" s="111"/>
      <c r="AW861" s="109"/>
      <c r="AX861" s="109"/>
      <c r="AY861" s="110"/>
      <c r="AZ861" s="109"/>
      <c r="BA861" s="111"/>
      <c r="BB861" s="109"/>
      <c r="BC861" s="109"/>
      <c r="BD861" s="110"/>
      <c r="BE861" s="109"/>
      <c r="BF861" s="111"/>
      <c r="BG861" s="109"/>
      <c r="BH861" s="109"/>
      <c r="BI861" s="110"/>
      <c r="BJ861" s="109"/>
      <c r="BK861" s="111"/>
      <c r="BL861" s="109"/>
      <c r="BM861" s="109"/>
      <c r="BN861" s="110"/>
      <c r="BO861" s="109"/>
      <c r="BP861" s="111"/>
      <c r="BQ861" s="109"/>
      <c r="BR861" s="109"/>
      <c r="BS861" s="110"/>
      <c r="BT861" s="109"/>
      <c r="BU861" s="111"/>
      <c r="BV861" s="109"/>
      <c r="BW861" s="109"/>
      <c r="BX861" s="110"/>
      <c r="BY861" s="109"/>
      <c r="BZ861" s="111"/>
      <c r="CA861" s="109"/>
      <c r="CB861" s="109"/>
      <c r="CC861" s="110"/>
      <c r="CD861" s="109"/>
      <c r="CE861" s="111"/>
      <c r="CF861" s="109"/>
      <c r="CG861" s="109"/>
      <c r="CH861" s="110"/>
      <c r="CI861" s="109"/>
      <c r="CJ861" s="111"/>
      <c r="CK861" s="109"/>
      <c r="CL861" s="109"/>
      <c r="CM861" s="110"/>
      <c r="CN861" s="109"/>
      <c r="CO861" s="111"/>
      <c r="CP861" s="109"/>
      <c r="CQ861" s="109"/>
      <c r="CR861" s="110"/>
      <c r="CS861" s="109"/>
      <c r="CT861" s="111"/>
      <c r="CU861" s="109"/>
      <c r="CV861" s="109"/>
      <c r="CW861" s="110"/>
      <c r="CX861" s="109"/>
      <c r="CY861" s="111"/>
      <c r="CZ861" s="109"/>
      <c r="DA861" s="109"/>
      <c r="DB861" s="110"/>
      <c r="DC861" s="109"/>
      <c r="DD861" s="111"/>
      <c r="DE861" s="109"/>
      <c r="DF861" s="109"/>
      <c r="DG861" s="110"/>
      <c r="DH861" s="109"/>
      <c r="DI861" s="111"/>
      <c r="DJ861" s="109"/>
      <c r="DK861" s="109"/>
      <c r="DL861" s="110"/>
      <c r="DM861" s="109"/>
      <c r="DN861" s="111"/>
      <c r="DO861" s="109"/>
      <c r="DP861" s="109"/>
      <c r="DQ861" s="110"/>
      <c r="DR861" s="109"/>
      <c r="DS861" s="111"/>
      <c r="DT861" s="109"/>
      <c r="DU861" s="109"/>
      <c r="DV861" s="110"/>
      <c r="DW861" s="109"/>
      <c r="DX861" s="111"/>
      <c r="DY861" s="109"/>
      <c r="DZ861" s="109"/>
      <c r="EA861" s="110"/>
      <c r="EB861" s="109"/>
      <c r="EC861" s="111"/>
      <c r="ED861" s="109"/>
      <c r="EE861" s="109"/>
      <c r="EF861" s="110"/>
      <c r="EG861" s="109"/>
      <c r="EH861" s="111"/>
      <c r="EI861" s="109"/>
      <c r="EJ861" s="109"/>
      <c r="EK861" s="110"/>
      <c r="EL861" s="109"/>
      <c r="EM861" s="111"/>
      <c r="EN861" s="109"/>
      <c r="EO861" s="109"/>
      <c r="EP861" s="110"/>
      <c r="EQ861" s="109"/>
      <c r="ER861" s="111"/>
      <c r="ES861" s="109"/>
      <c r="ET861" s="109"/>
      <c r="EU861" s="110"/>
      <c r="EV861" s="109"/>
      <c r="EW861" s="111"/>
      <c r="EX861" s="109"/>
      <c r="EY861" s="109"/>
      <c r="EZ861" s="110"/>
      <c r="FA861" s="109"/>
      <c r="FB861" s="111"/>
      <c r="FC861" s="109"/>
      <c r="FD861" s="109"/>
      <c r="FE861" s="110"/>
      <c r="FF861" s="109"/>
      <c r="FG861" s="111"/>
      <c r="FH861" s="109"/>
      <c r="FI861" s="109"/>
      <c r="FJ861" s="110"/>
      <c r="FK861" s="109"/>
      <c r="FL861" s="111"/>
      <c r="FM861" s="109"/>
      <c r="FN861" s="109"/>
      <c r="FO861" s="110"/>
      <c r="FP861" s="109"/>
      <c r="FQ861" s="111"/>
      <c r="FR861" s="109"/>
      <c r="FS861" s="109"/>
      <c r="FT861" s="110"/>
      <c r="FU861" s="109"/>
      <c r="FV861" s="111"/>
      <c r="FW861" s="109"/>
      <c r="FX861" s="109"/>
      <c r="FY861" s="110"/>
      <c r="FZ861" s="109"/>
      <c r="GA861" s="111"/>
      <c r="GB861" s="109"/>
      <c r="GC861" s="109"/>
      <c r="GD861" s="110"/>
      <c r="GE861" s="109"/>
      <c r="GF861" s="111"/>
      <c r="GG861" s="109"/>
      <c r="GH861" s="109"/>
      <c r="GI861" s="110"/>
      <c r="GJ861" s="109"/>
      <c r="GK861" s="111"/>
      <c r="GL861" s="109"/>
      <c r="GM861" s="109"/>
      <c r="GN861" s="110"/>
      <c r="GO861" s="109"/>
      <c r="GP861" s="111"/>
      <c r="GQ861" s="109"/>
      <c r="GR861" s="109"/>
      <c r="GS861" s="110"/>
      <c r="GT861" s="109"/>
      <c r="GU861" s="111"/>
      <c r="GV861" s="109"/>
      <c r="GW861" s="109"/>
      <c r="GX861" s="110"/>
      <c r="GY861" s="109"/>
      <c r="GZ861" s="111"/>
      <c r="HA861" s="109"/>
      <c r="HB861" s="109"/>
      <c r="HC861" s="110"/>
      <c r="HD861" s="109"/>
      <c r="HE861" s="111"/>
      <c r="HF861" s="109"/>
      <c r="HG861" s="109"/>
      <c r="HH861" s="110"/>
      <c r="HI861" s="109"/>
      <c r="HJ861" s="111"/>
      <c r="HK861" s="109"/>
      <c r="HL861" s="109"/>
      <c r="HM861" s="110"/>
      <c r="HN861" s="109"/>
      <c r="HO861" s="111"/>
      <c r="HP861" s="109"/>
      <c r="HQ861" s="109"/>
      <c r="HR861" s="110"/>
      <c r="HS861" s="109"/>
      <c r="HT861" s="111"/>
      <c r="HU861" s="109"/>
      <c r="HV861" s="109"/>
      <c r="HW861" s="110"/>
      <c r="HX861" s="109"/>
      <c r="HY861" s="111"/>
      <c r="HZ861" s="109"/>
      <c r="IA861" s="109"/>
      <c r="IB861" s="110"/>
      <c r="IC861" s="109"/>
      <c r="ID861" s="111"/>
      <c r="IE861" s="109"/>
      <c r="IF861" s="109"/>
      <c r="IG861" s="110"/>
      <c r="IH861" s="109"/>
      <c r="II861" s="111"/>
      <c r="IJ861" s="109"/>
      <c r="IK861" s="109"/>
      <c r="IL861" s="110"/>
      <c r="IM861" s="109"/>
      <c r="IN861" s="111"/>
      <c r="IO861" s="109"/>
      <c r="IP861" s="109"/>
      <c r="IQ861" s="110"/>
      <c r="IR861" s="109"/>
      <c r="IS861" s="111"/>
      <c r="IT861" s="109"/>
      <c r="IU861" s="109"/>
      <c r="IV861" s="110"/>
    </row>
    <row r="862" spans="1:256" s="123" customFormat="1" ht="14.25">
      <c r="A862" s="134">
        <v>37106</v>
      </c>
      <c r="B862" s="111">
        <v>37.1449</v>
      </c>
      <c r="C862" s="111">
        <f t="shared" si="14"/>
        <v>0.0371449</v>
      </c>
      <c r="D862" s="111">
        <v>21.6264</v>
      </c>
      <c r="E862" s="111">
        <v>24.6091</v>
      </c>
      <c r="F862" s="131"/>
      <c r="G862" s="109"/>
      <c r="H862" s="111"/>
      <c r="I862" s="109"/>
      <c r="J862" s="109"/>
      <c r="K862" s="110"/>
      <c r="L862" s="109"/>
      <c r="M862" s="111"/>
      <c r="N862" s="109"/>
      <c r="O862" s="109"/>
      <c r="P862" s="110"/>
      <c r="Q862" s="109"/>
      <c r="R862" s="111"/>
      <c r="S862" s="109"/>
      <c r="T862" s="109"/>
      <c r="U862" s="110"/>
      <c r="V862" s="109"/>
      <c r="W862" s="111"/>
      <c r="X862" s="109"/>
      <c r="Y862" s="109"/>
      <c r="Z862" s="110"/>
      <c r="AA862" s="109"/>
      <c r="AB862" s="111"/>
      <c r="AC862" s="109"/>
      <c r="AD862" s="109"/>
      <c r="AE862" s="110"/>
      <c r="AF862" s="109"/>
      <c r="AG862" s="111"/>
      <c r="AH862" s="109"/>
      <c r="AI862" s="109"/>
      <c r="AJ862" s="110"/>
      <c r="AK862" s="109"/>
      <c r="AL862" s="111"/>
      <c r="AM862" s="109"/>
      <c r="AN862" s="109"/>
      <c r="AO862" s="110"/>
      <c r="AP862" s="109"/>
      <c r="AQ862" s="111"/>
      <c r="AR862" s="109"/>
      <c r="AS862" s="109"/>
      <c r="AT862" s="110"/>
      <c r="AU862" s="109"/>
      <c r="AV862" s="111"/>
      <c r="AW862" s="109"/>
      <c r="AX862" s="109"/>
      <c r="AY862" s="110"/>
      <c r="AZ862" s="109"/>
      <c r="BA862" s="111"/>
      <c r="BB862" s="109"/>
      <c r="BC862" s="109"/>
      <c r="BD862" s="110"/>
      <c r="BE862" s="109"/>
      <c r="BF862" s="111"/>
      <c r="BG862" s="109"/>
      <c r="BH862" s="109"/>
      <c r="BI862" s="110"/>
      <c r="BJ862" s="109"/>
      <c r="BK862" s="111"/>
      <c r="BL862" s="109"/>
      <c r="BM862" s="109"/>
      <c r="BN862" s="110"/>
      <c r="BO862" s="109"/>
      <c r="BP862" s="111"/>
      <c r="BQ862" s="109"/>
      <c r="BR862" s="109"/>
      <c r="BS862" s="110"/>
      <c r="BT862" s="109"/>
      <c r="BU862" s="111"/>
      <c r="BV862" s="109"/>
      <c r="BW862" s="109"/>
      <c r="BX862" s="110"/>
      <c r="BY862" s="109"/>
      <c r="BZ862" s="111"/>
      <c r="CA862" s="109"/>
      <c r="CB862" s="109"/>
      <c r="CC862" s="110"/>
      <c r="CD862" s="109"/>
      <c r="CE862" s="111"/>
      <c r="CF862" s="109"/>
      <c r="CG862" s="109"/>
      <c r="CH862" s="110"/>
      <c r="CI862" s="109"/>
      <c r="CJ862" s="111"/>
      <c r="CK862" s="109"/>
      <c r="CL862" s="109"/>
      <c r="CM862" s="110"/>
      <c r="CN862" s="109"/>
      <c r="CO862" s="111"/>
      <c r="CP862" s="109"/>
      <c r="CQ862" s="109"/>
      <c r="CR862" s="110"/>
      <c r="CS862" s="109"/>
      <c r="CT862" s="111"/>
      <c r="CU862" s="109"/>
      <c r="CV862" s="109"/>
      <c r="CW862" s="110"/>
      <c r="CX862" s="109"/>
      <c r="CY862" s="111"/>
      <c r="CZ862" s="109"/>
      <c r="DA862" s="109"/>
      <c r="DB862" s="110"/>
      <c r="DC862" s="109"/>
      <c r="DD862" s="111"/>
      <c r="DE862" s="109"/>
      <c r="DF862" s="109"/>
      <c r="DG862" s="110"/>
      <c r="DH862" s="109"/>
      <c r="DI862" s="111"/>
      <c r="DJ862" s="109"/>
      <c r="DK862" s="109"/>
      <c r="DL862" s="110"/>
      <c r="DM862" s="109"/>
      <c r="DN862" s="111"/>
      <c r="DO862" s="109"/>
      <c r="DP862" s="109"/>
      <c r="DQ862" s="110"/>
      <c r="DR862" s="109"/>
      <c r="DS862" s="111"/>
      <c r="DT862" s="109"/>
      <c r="DU862" s="109"/>
      <c r="DV862" s="110"/>
      <c r="DW862" s="109"/>
      <c r="DX862" s="111"/>
      <c r="DY862" s="109"/>
      <c r="DZ862" s="109"/>
      <c r="EA862" s="110"/>
      <c r="EB862" s="109"/>
      <c r="EC862" s="111"/>
      <c r="ED862" s="109"/>
      <c r="EE862" s="109"/>
      <c r="EF862" s="110"/>
      <c r="EG862" s="109"/>
      <c r="EH862" s="111"/>
      <c r="EI862" s="109"/>
      <c r="EJ862" s="109"/>
      <c r="EK862" s="110"/>
      <c r="EL862" s="109"/>
      <c r="EM862" s="111"/>
      <c r="EN862" s="109"/>
      <c r="EO862" s="109"/>
      <c r="EP862" s="110"/>
      <c r="EQ862" s="109"/>
      <c r="ER862" s="111"/>
      <c r="ES862" s="109"/>
      <c r="ET862" s="109"/>
      <c r="EU862" s="110"/>
      <c r="EV862" s="109"/>
      <c r="EW862" s="111"/>
      <c r="EX862" s="109"/>
      <c r="EY862" s="109"/>
      <c r="EZ862" s="110"/>
      <c r="FA862" s="109"/>
      <c r="FB862" s="111"/>
      <c r="FC862" s="109"/>
      <c r="FD862" s="109"/>
      <c r="FE862" s="110"/>
      <c r="FF862" s="109"/>
      <c r="FG862" s="111"/>
      <c r="FH862" s="109"/>
      <c r="FI862" s="109"/>
      <c r="FJ862" s="110"/>
      <c r="FK862" s="109"/>
      <c r="FL862" s="111"/>
      <c r="FM862" s="109"/>
      <c r="FN862" s="109"/>
      <c r="FO862" s="110"/>
      <c r="FP862" s="109"/>
      <c r="FQ862" s="111"/>
      <c r="FR862" s="109"/>
      <c r="FS862" s="109"/>
      <c r="FT862" s="110"/>
      <c r="FU862" s="109"/>
      <c r="FV862" s="111"/>
      <c r="FW862" s="109"/>
      <c r="FX862" s="109"/>
      <c r="FY862" s="110"/>
      <c r="FZ862" s="109"/>
      <c r="GA862" s="111"/>
      <c r="GB862" s="109"/>
      <c r="GC862" s="109"/>
      <c r="GD862" s="110"/>
      <c r="GE862" s="109"/>
      <c r="GF862" s="111"/>
      <c r="GG862" s="109"/>
      <c r="GH862" s="109"/>
      <c r="GI862" s="110"/>
      <c r="GJ862" s="109"/>
      <c r="GK862" s="111"/>
      <c r="GL862" s="109"/>
      <c r="GM862" s="109"/>
      <c r="GN862" s="110"/>
      <c r="GO862" s="109"/>
      <c r="GP862" s="111"/>
      <c r="GQ862" s="109"/>
      <c r="GR862" s="109"/>
      <c r="GS862" s="110"/>
      <c r="GT862" s="109"/>
      <c r="GU862" s="111"/>
      <c r="GV862" s="109"/>
      <c r="GW862" s="109"/>
      <c r="GX862" s="110"/>
      <c r="GY862" s="109"/>
      <c r="GZ862" s="111"/>
      <c r="HA862" s="109"/>
      <c r="HB862" s="109"/>
      <c r="HC862" s="110"/>
      <c r="HD862" s="109"/>
      <c r="HE862" s="111"/>
      <c r="HF862" s="109"/>
      <c r="HG862" s="109"/>
      <c r="HH862" s="110"/>
      <c r="HI862" s="109"/>
      <c r="HJ862" s="111"/>
      <c r="HK862" s="109"/>
      <c r="HL862" s="109"/>
      <c r="HM862" s="110"/>
      <c r="HN862" s="109"/>
      <c r="HO862" s="111"/>
      <c r="HP862" s="109"/>
      <c r="HQ862" s="109"/>
      <c r="HR862" s="110"/>
      <c r="HS862" s="109"/>
      <c r="HT862" s="111"/>
      <c r="HU862" s="109"/>
      <c r="HV862" s="109"/>
      <c r="HW862" s="110"/>
      <c r="HX862" s="109"/>
      <c r="HY862" s="111"/>
      <c r="HZ862" s="109"/>
      <c r="IA862" s="109"/>
      <c r="IB862" s="110"/>
      <c r="IC862" s="109"/>
      <c r="ID862" s="111"/>
      <c r="IE862" s="109"/>
      <c r="IF862" s="109"/>
      <c r="IG862" s="110"/>
      <c r="IH862" s="109"/>
      <c r="II862" s="111"/>
      <c r="IJ862" s="109"/>
      <c r="IK862" s="109"/>
      <c r="IL862" s="110"/>
      <c r="IM862" s="109"/>
      <c r="IN862" s="111"/>
      <c r="IO862" s="109"/>
      <c r="IP862" s="109"/>
      <c r="IQ862" s="110"/>
      <c r="IR862" s="109"/>
      <c r="IS862" s="111"/>
      <c r="IT862" s="109"/>
      <c r="IU862" s="109"/>
      <c r="IV862" s="110"/>
    </row>
    <row r="863" spans="1:256" s="123" customFormat="1" ht="14.25">
      <c r="A863" s="134">
        <v>37109</v>
      </c>
      <c r="B863" s="111">
        <v>38.7459</v>
      </c>
      <c r="C863" s="111">
        <f t="shared" si="14"/>
        <v>0.0387459</v>
      </c>
      <c r="D863" s="111">
        <v>22.6318</v>
      </c>
      <c r="E863" s="111">
        <v>25.7004</v>
      </c>
      <c r="F863" s="131"/>
      <c r="G863" s="109"/>
      <c r="H863" s="111"/>
      <c r="I863" s="109"/>
      <c r="J863" s="109"/>
      <c r="K863" s="110"/>
      <c r="L863" s="109"/>
      <c r="M863" s="111"/>
      <c r="N863" s="109"/>
      <c r="O863" s="109"/>
      <c r="P863" s="110"/>
      <c r="Q863" s="109"/>
      <c r="R863" s="111"/>
      <c r="S863" s="109"/>
      <c r="T863" s="109"/>
      <c r="U863" s="110"/>
      <c r="V863" s="109"/>
      <c r="W863" s="111"/>
      <c r="X863" s="109"/>
      <c r="Y863" s="109"/>
      <c r="Z863" s="110"/>
      <c r="AA863" s="109"/>
      <c r="AB863" s="111"/>
      <c r="AC863" s="109"/>
      <c r="AD863" s="109"/>
      <c r="AE863" s="110"/>
      <c r="AF863" s="109"/>
      <c r="AG863" s="111"/>
      <c r="AH863" s="109"/>
      <c r="AI863" s="109"/>
      <c r="AJ863" s="110"/>
      <c r="AK863" s="109"/>
      <c r="AL863" s="111"/>
      <c r="AM863" s="109"/>
      <c r="AN863" s="109"/>
      <c r="AO863" s="110"/>
      <c r="AP863" s="109"/>
      <c r="AQ863" s="111"/>
      <c r="AR863" s="109"/>
      <c r="AS863" s="109"/>
      <c r="AT863" s="110"/>
      <c r="AU863" s="109"/>
      <c r="AV863" s="111"/>
      <c r="AW863" s="109"/>
      <c r="AX863" s="109"/>
      <c r="AY863" s="110"/>
      <c r="AZ863" s="109"/>
      <c r="BA863" s="111"/>
      <c r="BB863" s="109"/>
      <c r="BC863" s="109"/>
      <c r="BD863" s="110"/>
      <c r="BE863" s="109"/>
      <c r="BF863" s="111"/>
      <c r="BG863" s="109"/>
      <c r="BH863" s="109"/>
      <c r="BI863" s="110"/>
      <c r="BJ863" s="109"/>
      <c r="BK863" s="111"/>
      <c r="BL863" s="109"/>
      <c r="BM863" s="109"/>
      <c r="BN863" s="110"/>
      <c r="BO863" s="109"/>
      <c r="BP863" s="111"/>
      <c r="BQ863" s="109"/>
      <c r="BR863" s="109"/>
      <c r="BS863" s="110"/>
      <c r="BT863" s="109"/>
      <c r="BU863" s="111"/>
      <c r="BV863" s="109"/>
      <c r="BW863" s="109"/>
      <c r="BX863" s="110"/>
      <c r="BY863" s="109"/>
      <c r="BZ863" s="111"/>
      <c r="CA863" s="109"/>
      <c r="CB863" s="109"/>
      <c r="CC863" s="110"/>
      <c r="CD863" s="109"/>
      <c r="CE863" s="111"/>
      <c r="CF863" s="109"/>
      <c r="CG863" s="109"/>
      <c r="CH863" s="110"/>
      <c r="CI863" s="109"/>
      <c r="CJ863" s="111"/>
      <c r="CK863" s="109"/>
      <c r="CL863" s="109"/>
      <c r="CM863" s="110"/>
      <c r="CN863" s="109"/>
      <c r="CO863" s="111"/>
      <c r="CP863" s="109"/>
      <c r="CQ863" s="109"/>
      <c r="CR863" s="110"/>
      <c r="CS863" s="109"/>
      <c r="CT863" s="111"/>
      <c r="CU863" s="109"/>
      <c r="CV863" s="109"/>
      <c r="CW863" s="110"/>
      <c r="CX863" s="109"/>
      <c r="CY863" s="111"/>
      <c r="CZ863" s="109"/>
      <c r="DA863" s="109"/>
      <c r="DB863" s="110"/>
      <c r="DC863" s="109"/>
      <c r="DD863" s="111"/>
      <c r="DE863" s="109"/>
      <c r="DF863" s="109"/>
      <c r="DG863" s="110"/>
      <c r="DH863" s="109"/>
      <c r="DI863" s="111"/>
      <c r="DJ863" s="109"/>
      <c r="DK863" s="109"/>
      <c r="DL863" s="110"/>
      <c r="DM863" s="109"/>
      <c r="DN863" s="111"/>
      <c r="DO863" s="109"/>
      <c r="DP863" s="109"/>
      <c r="DQ863" s="110"/>
      <c r="DR863" s="109"/>
      <c r="DS863" s="111"/>
      <c r="DT863" s="109"/>
      <c r="DU863" s="109"/>
      <c r="DV863" s="110"/>
      <c r="DW863" s="109"/>
      <c r="DX863" s="111"/>
      <c r="DY863" s="109"/>
      <c r="DZ863" s="109"/>
      <c r="EA863" s="110"/>
      <c r="EB863" s="109"/>
      <c r="EC863" s="111"/>
      <c r="ED863" s="109"/>
      <c r="EE863" s="109"/>
      <c r="EF863" s="110"/>
      <c r="EG863" s="109"/>
      <c r="EH863" s="111"/>
      <c r="EI863" s="109"/>
      <c r="EJ863" s="109"/>
      <c r="EK863" s="110"/>
      <c r="EL863" s="109"/>
      <c r="EM863" s="111"/>
      <c r="EN863" s="109"/>
      <c r="EO863" s="109"/>
      <c r="EP863" s="110"/>
      <c r="EQ863" s="109"/>
      <c r="ER863" s="111"/>
      <c r="ES863" s="109"/>
      <c r="ET863" s="109"/>
      <c r="EU863" s="110"/>
      <c r="EV863" s="109"/>
      <c r="EW863" s="111"/>
      <c r="EX863" s="109"/>
      <c r="EY863" s="109"/>
      <c r="EZ863" s="110"/>
      <c r="FA863" s="109"/>
      <c r="FB863" s="111"/>
      <c r="FC863" s="109"/>
      <c r="FD863" s="109"/>
      <c r="FE863" s="110"/>
      <c r="FF863" s="109"/>
      <c r="FG863" s="111"/>
      <c r="FH863" s="109"/>
      <c r="FI863" s="109"/>
      <c r="FJ863" s="110"/>
      <c r="FK863" s="109"/>
      <c r="FL863" s="111"/>
      <c r="FM863" s="109"/>
      <c r="FN863" s="109"/>
      <c r="FO863" s="110"/>
      <c r="FP863" s="109"/>
      <c r="FQ863" s="111"/>
      <c r="FR863" s="109"/>
      <c r="FS863" s="109"/>
      <c r="FT863" s="110"/>
      <c r="FU863" s="109"/>
      <c r="FV863" s="111"/>
      <c r="FW863" s="109"/>
      <c r="FX863" s="109"/>
      <c r="FY863" s="110"/>
      <c r="FZ863" s="109"/>
      <c r="GA863" s="111"/>
      <c r="GB863" s="109"/>
      <c r="GC863" s="109"/>
      <c r="GD863" s="110"/>
      <c r="GE863" s="109"/>
      <c r="GF863" s="111"/>
      <c r="GG863" s="109"/>
      <c r="GH863" s="109"/>
      <c r="GI863" s="110"/>
      <c r="GJ863" s="109"/>
      <c r="GK863" s="111"/>
      <c r="GL863" s="109"/>
      <c r="GM863" s="109"/>
      <c r="GN863" s="110"/>
      <c r="GO863" s="109"/>
      <c r="GP863" s="111"/>
      <c r="GQ863" s="109"/>
      <c r="GR863" s="109"/>
      <c r="GS863" s="110"/>
      <c r="GT863" s="109"/>
      <c r="GU863" s="111"/>
      <c r="GV863" s="109"/>
      <c r="GW863" s="109"/>
      <c r="GX863" s="110"/>
      <c r="GY863" s="109"/>
      <c r="GZ863" s="111"/>
      <c r="HA863" s="109"/>
      <c r="HB863" s="109"/>
      <c r="HC863" s="110"/>
      <c r="HD863" s="109"/>
      <c r="HE863" s="111"/>
      <c r="HF863" s="109"/>
      <c r="HG863" s="109"/>
      <c r="HH863" s="110"/>
      <c r="HI863" s="109"/>
      <c r="HJ863" s="111"/>
      <c r="HK863" s="109"/>
      <c r="HL863" s="109"/>
      <c r="HM863" s="110"/>
      <c r="HN863" s="109"/>
      <c r="HO863" s="111"/>
      <c r="HP863" s="109"/>
      <c r="HQ863" s="109"/>
      <c r="HR863" s="110"/>
      <c r="HS863" s="109"/>
      <c r="HT863" s="111"/>
      <c r="HU863" s="109"/>
      <c r="HV863" s="109"/>
      <c r="HW863" s="110"/>
      <c r="HX863" s="109"/>
      <c r="HY863" s="111"/>
      <c r="HZ863" s="109"/>
      <c r="IA863" s="109"/>
      <c r="IB863" s="110"/>
      <c r="IC863" s="109"/>
      <c r="ID863" s="111"/>
      <c r="IE863" s="109"/>
      <c r="IF863" s="109"/>
      <c r="IG863" s="110"/>
      <c r="IH863" s="109"/>
      <c r="II863" s="111"/>
      <c r="IJ863" s="109"/>
      <c r="IK863" s="109"/>
      <c r="IL863" s="110"/>
      <c r="IM863" s="109"/>
      <c r="IN863" s="111"/>
      <c r="IO863" s="109"/>
      <c r="IP863" s="109"/>
      <c r="IQ863" s="110"/>
      <c r="IR863" s="109"/>
      <c r="IS863" s="111"/>
      <c r="IT863" s="109"/>
      <c r="IU863" s="109"/>
      <c r="IV863" s="110"/>
    </row>
    <row r="864" spans="1:256" s="123" customFormat="1" ht="14.25">
      <c r="A864" s="134">
        <v>37110</v>
      </c>
      <c r="B864" s="111">
        <v>37.3498</v>
      </c>
      <c r="C864" s="111">
        <f t="shared" si="14"/>
        <v>0.0373498</v>
      </c>
      <c r="D864" s="111">
        <v>21.8138</v>
      </c>
      <c r="E864" s="111">
        <v>24.7744</v>
      </c>
      <c r="F864" s="131"/>
      <c r="G864" s="109"/>
      <c r="H864" s="111"/>
      <c r="I864" s="109"/>
      <c r="J864" s="109"/>
      <c r="K864" s="110"/>
      <c r="L864" s="109"/>
      <c r="M864" s="111"/>
      <c r="N864" s="109"/>
      <c r="O864" s="109"/>
      <c r="P864" s="110"/>
      <c r="Q864" s="109"/>
      <c r="R864" s="111"/>
      <c r="S864" s="109"/>
      <c r="T864" s="109"/>
      <c r="U864" s="110"/>
      <c r="V864" s="109"/>
      <c r="W864" s="111"/>
      <c r="X864" s="109"/>
      <c r="Y864" s="109"/>
      <c r="Z864" s="110"/>
      <c r="AA864" s="109"/>
      <c r="AB864" s="111"/>
      <c r="AC864" s="109"/>
      <c r="AD864" s="109"/>
      <c r="AE864" s="110"/>
      <c r="AF864" s="109"/>
      <c r="AG864" s="111"/>
      <c r="AH864" s="109"/>
      <c r="AI864" s="109"/>
      <c r="AJ864" s="110"/>
      <c r="AK864" s="109"/>
      <c r="AL864" s="111"/>
      <c r="AM864" s="109"/>
      <c r="AN864" s="109"/>
      <c r="AO864" s="110"/>
      <c r="AP864" s="109"/>
      <c r="AQ864" s="111"/>
      <c r="AR864" s="109"/>
      <c r="AS864" s="109"/>
      <c r="AT864" s="110"/>
      <c r="AU864" s="109"/>
      <c r="AV864" s="111"/>
      <c r="AW864" s="109"/>
      <c r="AX864" s="109"/>
      <c r="AY864" s="110"/>
      <c r="AZ864" s="109"/>
      <c r="BA864" s="111"/>
      <c r="BB864" s="109"/>
      <c r="BC864" s="109"/>
      <c r="BD864" s="110"/>
      <c r="BE864" s="109"/>
      <c r="BF864" s="111"/>
      <c r="BG864" s="109"/>
      <c r="BH864" s="109"/>
      <c r="BI864" s="110"/>
      <c r="BJ864" s="109"/>
      <c r="BK864" s="111"/>
      <c r="BL864" s="109"/>
      <c r="BM864" s="109"/>
      <c r="BN864" s="110"/>
      <c r="BO864" s="109"/>
      <c r="BP864" s="111"/>
      <c r="BQ864" s="109"/>
      <c r="BR864" s="109"/>
      <c r="BS864" s="110"/>
      <c r="BT864" s="109"/>
      <c r="BU864" s="111"/>
      <c r="BV864" s="109"/>
      <c r="BW864" s="109"/>
      <c r="BX864" s="110"/>
      <c r="BY864" s="109"/>
      <c r="BZ864" s="111"/>
      <c r="CA864" s="109"/>
      <c r="CB864" s="109"/>
      <c r="CC864" s="110"/>
      <c r="CD864" s="109"/>
      <c r="CE864" s="111"/>
      <c r="CF864" s="109"/>
      <c r="CG864" s="109"/>
      <c r="CH864" s="110"/>
      <c r="CI864" s="109"/>
      <c r="CJ864" s="111"/>
      <c r="CK864" s="109"/>
      <c r="CL864" s="109"/>
      <c r="CM864" s="110"/>
      <c r="CN864" s="109"/>
      <c r="CO864" s="111"/>
      <c r="CP864" s="109"/>
      <c r="CQ864" s="109"/>
      <c r="CR864" s="110"/>
      <c r="CS864" s="109"/>
      <c r="CT864" s="111"/>
      <c r="CU864" s="109"/>
      <c r="CV864" s="109"/>
      <c r="CW864" s="110"/>
      <c r="CX864" s="109"/>
      <c r="CY864" s="111"/>
      <c r="CZ864" s="109"/>
      <c r="DA864" s="109"/>
      <c r="DB864" s="110"/>
      <c r="DC864" s="109"/>
      <c r="DD864" s="111"/>
      <c r="DE864" s="109"/>
      <c r="DF864" s="109"/>
      <c r="DG864" s="110"/>
      <c r="DH864" s="109"/>
      <c r="DI864" s="111"/>
      <c r="DJ864" s="109"/>
      <c r="DK864" s="109"/>
      <c r="DL864" s="110"/>
      <c r="DM864" s="109"/>
      <c r="DN864" s="111"/>
      <c r="DO864" s="109"/>
      <c r="DP864" s="109"/>
      <c r="DQ864" s="110"/>
      <c r="DR864" s="109"/>
      <c r="DS864" s="111"/>
      <c r="DT864" s="109"/>
      <c r="DU864" s="109"/>
      <c r="DV864" s="110"/>
      <c r="DW864" s="109"/>
      <c r="DX864" s="111"/>
      <c r="DY864" s="109"/>
      <c r="DZ864" s="109"/>
      <c r="EA864" s="110"/>
      <c r="EB864" s="109"/>
      <c r="EC864" s="111"/>
      <c r="ED864" s="109"/>
      <c r="EE864" s="109"/>
      <c r="EF864" s="110"/>
      <c r="EG864" s="109"/>
      <c r="EH864" s="111"/>
      <c r="EI864" s="109"/>
      <c r="EJ864" s="109"/>
      <c r="EK864" s="110"/>
      <c r="EL864" s="109"/>
      <c r="EM864" s="111"/>
      <c r="EN864" s="109"/>
      <c r="EO864" s="109"/>
      <c r="EP864" s="110"/>
      <c r="EQ864" s="109"/>
      <c r="ER864" s="111"/>
      <c r="ES864" s="109"/>
      <c r="ET864" s="109"/>
      <c r="EU864" s="110"/>
      <c r="EV864" s="109"/>
      <c r="EW864" s="111"/>
      <c r="EX864" s="109"/>
      <c r="EY864" s="109"/>
      <c r="EZ864" s="110"/>
      <c r="FA864" s="109"/>
      <c r="FB864" s="111"/>
      <c r="FC864" s="109"/>
      <c r="FD864" s="109"/>
      <c r="FE864" s="110"/>
      <c r="FF864" s="109"/>
      <c r="FG864" s="111"/>
      <c r="FH864" s="109"/>
      <c r="FI864" s="109"/>
      <c r="FJ864" s="110"/>
      <c r="FK864" s="109"/>
      <c r="FL864" s="111"/>
      <c r="FM864" s="109"/>
      <c r="FN864" s="109"/>
      <c r="FO864" s="110"/>
      <c r="FP864" s="109"/>
      <c r="FQ864" s="111"/>
      <c r="FR864" s="109"/>
      <c r="FS864" s="109"/>
      <c r="FT864" s="110"/>
      <c r="FU864" s="109"/>
      <c r="FV864" s="111"/>
      <c r="FW864" s="109"/>
      <c r="FX864" s="109"/>
      <c r="FY864" s="110"/>
      <c r="FZ864" s="109"/>
      <c r="GA864" s="111"/>
      <c r="GB864" s="109"/>
      <c r="GC864" s="109"/>
      <c r="GD864" s="110"/>
      <c r="GE864" s="109"/>
      <c r="GF864" s="111"/>
      <c r="GG864" s="109"/>
      <c r="GH864" s="109"/>
      <c r="GI864" s="110"/>
      <c r="GJ864" s="109"/>
      <c r="GK864" s="111"/>
      <c r="GL864" s="109"/>
      <c r="GM864" s="109"/>
      <c r="GN864" s="110"/>
      <c r="GO864" s="109"/>
      <c r="GP864" s="111"/>
      <c r="GQ864" s="109"/>
      <c r="GR864" s="109"/>
      <c r="GS864" s="110"/>
      <c r="GT864" s="109"/>
      <c r="GU864" s="111"/>
      <c r="GV864" s="109"/>
      <c r="GW864" s="109"/>
      <c r="GX864" s="110"/>
      <c r="GY864" s="109"/>
      <c r="GZ864" s="111"/>
      <c r="HA864" s="109"/>
      <c r="HB864" s="109"/>
      <c r="HC864" s="110"/>
      <c r="HD864" s="109"/>
      <c r="HE864" s="111"/>
      <c r="HF864" s="109"/>
      <c r="HG864" s="109"/>
      <c r="HH864" s="110"/>
      <c r="HI864" s="109"/>
      <c r="HJ864" s="111"/>
      <c r="HK864" s="109"/>
      <c r="HL864" s="109"/>
      <c r="HM864" s="110"/>
      <c r="HN864" s="109"/>
      <c r="HO864" s="111"/>
      <c r="HP864" s="109"/>
      <c r="HQ864" s="109"/>
      <c r="HR864" s="110"/>
      <c r="HS864" s="109"/>
      <c r="HT864" s="111"/>
      <c r="HU864" s="109"/>
      <c r="HV864" s="109"/>
      <c r="HW864" s="110"/>
      <c r="HX864" s="109"/>
      <c r="HY864" s="111"/>
      <c r="HZ864" s="109"/>
      <c r="IA864" s="109"/>
      <c r="IB864" s="110"/>
      <c r="IC864" s="109"/>
      <c r="ID864" s="111"/>
      <c r="IE864" s="109"/>
      <c r="IF864" s="109"/>
      <c r="IG864" s="110"/>
      <c r="IH864" s="109"/>
      <c r="II864" s="111"/>
      <c r="IJ864" s="109"/>
      <c r="IK864" s="109"/>
      <c r="IL864" s="110"/>
      <c r="IM864" s="109"/>
      <c r="IN864" s="111"/>
      <c r="IO864" s="109"/>
      <c r="IP864" s="109"/>
      <c r="IQ864" s="110"/>
      <c r="IR864" s="109"/>
      <c r="IS864" s="111"/>
      <c r="IT864" s="109"/>
      <c r="IU864" s="109"/>
      <c r="IV864" s="110"/>
    </row>
    <row r="865" spans="1:256" s="123" customFormat="1" ht="14.25">
      <c r="A865" s="134">
        <v>37111</v>
      </c>
      <c r="B865" s="111">
        <v>37.1182</v>
      </c>
      <c r="C865" s="111">
        <f t="shared" si="14"/>
        <v>0.037118200000000004</v>
      </c>
      <c r="D865" s="111">
        <v>21.6104</v>
      </c>
      <c r="E865" s="111">
        <v>24.6469</v>
      </c>
      <c r="F865" s="131"/>
      <c r="G865" s="109"/>
      <c r="H865" s="111"/>
      <c r="I865" s="109"/>
      <c r="J865" s="109"/>
      <c r="K865" s="110"/>
      <c r="L865" s="109"/>
      <c r="M865" s="111"/>
      <c r="N865" s="109"/>
      <c r="O865" s="109"/>
      <c r="P865" s="110"/>
      <c r="Q865" s="109"/>
      <c r="R865" s="111"/>
      <c r="S865" s="109"/>
      <c r="T865" s="109"/>
      <c r="U865" s="110"/>
      <c r="V865" s="109"/>
      <c r="W865" s="111"/>
      <c r="X865" s="109"/>
      <c r="Y865" s="109"/>
      <c r="Z865" s="110"/>
      <c r="AA865" s="109"/>
      <c r="AB865" s="111"/>
      <c r="AC865" s="109"/>
      <c r="AD865" s="109"/>
      <c r="AE865" s="110"/>
      <c r="AF865" s="109"/>
      <c r="AG865" s="111"/>
      <c r="AH865" s="109"/>
      <c r="AI865" s="109"/>
      <c r="AJ865" s="110"/>
      <c r="AK865" s="109"/>
      <c r="AL865" s="111"/>
      <c r="AM865" s="109"/>
      <c r="AN865" s="109"/>
      <c r="AO865" s="110"/>
      <c r="AP865" s="109"/>
      <c r="AQ865" s="111"/>
      <c r="AR865" s="109"/>
      <c r="AS865" s="109"/>
      <c r="AT865" s="110"/>
      <c r="AU865" s="109"/>
      <c r="AV865" s="111"/>
      <c r="AW865" s="109"/>
      <c r="AX865" s="109"/>
      <c r="AY865" s="110"/>
      <c r="AZ865" s="109"/>
      <c r="BA865" s="111"/>
      <c r="BB865" s="109"/>
      <c r="BC865" s="109"/>
      <c r="BD865" s="110"/>
      <c r="BE865" s="109"/>
      <c r="BF865" s="111"/>
      <c r="BG865" s="109"/>
      <c r="BH865" s="109"/>
      <c r="BI865" s="110"/>
      <c r="BJ865" s="109"/>
      <c r="BK865" s="111"/>
      <c r="BL865" s="109"/>
      <c r="BM865" s="109"/>
      <c r="BN865" s="110"/>
      <c r="BO865" s="109"/>
      <c r="BP865" s="111"/>
      <c r="BQ865" s="109"/>
      <c r="BR865" s="109"/>
      <c r="BS865" s="110"/>
      <c r="BT865" s="109"/>
      <c r="BU865" s="111"/>
      <c r="BV865" s="109"/>
      <c r="BW865" s="109"/>
      <c r="BX865" s="110"/>
      <c r="BY865" s="109"/>
      <c r="BZ865" s="111"/>
      <c r="CA865" s="109"/>
      <c r="CB865" s="109"/>
      <c r="CC865" s="110"/>
      <c r="CD865" s="109"/>
      <c r="CE865" s="111"/>
      <c r="CF865" s="109"/>
      <c r="CG865" s="109"/>
      <c r="CH865" s="110"/>
      <c r="CI865" s="109"/>
      <c r="CJ865" s="111"/>
      <c r="CK865" s="109"/>
      <c r="CL865" s="109"/>
      <c r="CM865" s="110"/>
      <c r="CN865" s="109"/>
      <c r="CO865" s="111"/>
      <c r="CP865" s="109"/>
      <c r="CQ865" s="109"/>
      <c r="CR865" s="110"/>
      <c r="CS865" s="109"/>
      <c r="CT865" s="111"/>
      <c r="CU865" s="109"/>
      <c r="CV865" s="109"/>
      <c r="CW865" s="110"/>
      <c r="CX865" s="109"/>
      <c r="CY865" s="111"/>
      <c r="CZ865" s="109"/>
      <c r="DA865" s="109"/>
      <c r="DB865" s="110"/>
      <c r="DC865" s="109"/>
      <c r="DD865" s="111"/>
      <c r="DE865" s="109"/>
      <c r="DF865" s="109"/>
      <c r="DG865" s="110"/>
      <c r="DH865" s="109"/>
      <c r="DI865" s="111"/>
      <c r="DJ865" s="109"/>
      <c r="DK865" s="109"/>
      <c r="DL865" s="110"/>
      <c r="DM865" s="109"/>
      <c r="DN865" s="111"/>
      <c r="DO865" s="109"/>
      <c r="DP865" s="109"/>
      <c r="DQ865" s="110"/>
      <c r="DR865" s="109"/>
      <c r="DS865" s="111"/>
      <c r="DT865" s="109"/>
      <c r="DU865" s="109"/>
      <c r="DV865" s="110"/>
      <c r="DW865" s="109"/>
      <c r="DX865" s="111"/>
      <c r="DY865" s="109"/>
      <c r="DZ865" s="109"/>
      <c r="EA865" s="110"/>
      <c r="EB865" s="109"/>
      <c r="EC865" s="111"/>
      <c r="ED865" s="109"/>
      <c r="EE865" s="109"/>
      <c r="EF865" s="110"/>
      <c r="EG865" s="109"/>
      <c r="EH865" s="111"/>
      <c r="EI865" s="109"/>
      <c r="EJ865" s="109"/>
      <c r="EK865" s="110"/>
      <c r="EL865" s="109"/>
      <c r="EM865" s="111"/>
      <c r="EN865" s="109"/>
      <c r="EO865" s="109"/>
      <c r="EP865" s="110"/>
      <c r="EQ865" s="109"/>
      <c r="ER865" s="111"/>
      <c r="ES865" s="109"/>
      <c r="ET865" s="109"/>
      <c r="EU865" s="110"/>
      <c r="EV865" s="109"/>
      <c r="EW865" s="111"/>
      <c r="EX865" s="109"/>
      <c r="EY865" s="109"/>
      <c r="EZ865" s="110"/>
      <c r="FA865" s="109"/>
      <c r="FB865" s="111"/>
      <c r="FC865" s="109"/>
      <c r="FD865" s="109"/>
      <c r="FE865" s="110"/>
      <c r="FF865" s="109"/>
      <c r="FG865" s="111"/>
      <c r="FH865" s="109"/>
      <c r="FI865" s="109"/>
      <c r="FJ865" s="110"/>
      <c r="FK865" s="109"/>
      <c r="FL865" s="111"/>
      <c r="FM865" s="109"/>
      <c r="FN865" s="109"/>
      <c r="FO865" s="110"/>
      <c r="FP865" s="109"/>
      <c r="FQ865" s="111"/>
      <c r="FR865" s="109"/>
      <c r="FS865" s="109"/>
      <c r="FT865" s="110"/>
      <c r="FU865" s="109"/>
      <c r="FV865" s="111"/>
      <c r="FW865" s="109"/>
      <c r="FX865" s="109"/>
      <c r="FY865" s="110"/>
      <c r="FZ865" s="109"/>
      <c r="GA865" s="111"/>
      <c r="GB865" s="109"/>
      <c r="GC865" s="109"/>
      <c r="GD865" s="110"/>
      <c r="GE865" s="109"/>
      <c r="GF865" s="111"/>
      <c r="GG865" s="109"/>
      <c r="GH865" s="109"/>
      <c r="GI865" s="110"/>
      <c r="GJ865" s="109"/>
      <c r="GK865" s="111"/>
      <c r="GL865" s="109"/>
      <c r="GM865" s="109"/>
      <c r="GN865" s="110"/>
      <c r="GO865" s="109"/>
      <c r="GP865" s="111"/>
      <c r="GQ865" s="109"/>
      <c r="GR865" s="109"/>
      <c r="GS865" s="110"/>
      <c r="GT865" s="109"/>
      <c r="GU865" s="111"/>
      <c r="GV865" s="109"/>
      <c r="GW865" s="109"/>
      <c r="GX865" s="110"/>
      <c r="GY865" s="109"/>
      <c r="GZ865" s="111"/>
      <c r="HA865" s="109"/>
      <c r="HB865" s="109"/>
      <c r="HC865" s="110"/>
      <c r="HD865" s="109"/>
      <c r="HE865" s="111"/>
      <c r="HF865" s="109"/>
      <c r="HG865" s="109"/>
      <c r="HH865" s="110"/>
      <c r="HI865" s="109"/>
      <c r="HJ865" s="111"/>
      <c r="HK865" s="109"/>
      <c r="HL865" s="109"/>
      <c r="HM865" s="110"/>
      <c r="HN865" s="109"/>
      <c r="HO865" s="111"/>
      <c r="HP865" s="109"/>
      <c r="HQ865" s="109"/>
      <c r="HR865" s="110"/>
      <c r="HS865" s="109"/>
      <c r="HT865" s="111"/>
      <c r="HU865" s="109"/>
      <c r="HV865" s="109"/>
      <c r="HW865" s="110"/>
      <c r="HX865" s="109"/>
      <c r="HY865" s="111"/>
      <c r="HZ865" s="109"/>
      <c r="IA865" s="109"/>
      <c r="IB865" s="110"/>
      <c r="IC865" s="109"/>
      <c r="ID865" s="111"/>
      <c r="IE865" s="109"/>
      <c r="IF865" s="109"/>
      <c r="IG865" s="110"/>
      <c r="IH865" s="109"/>
      <c r="II865" s="111"/>
      <c r="IJ865" s="109"/>
      <c r="IK865" s="109"/>
      <c r="IL865" s="110"/>
      <c r="IM865" s="109"/>
      <c r="IN865" s="111"/>
      <c r="IO865" s="109"/>
      <c r="IP865" s="109"/>
      <c r="IQ865" s="110"/>
      <c r="IR865" s="109"/>
      <c r="IS865" s="111"/>
      <c r="IT865" s="109"/>
      <c r="IU865" s="109"/>
      <c r="IV865" s="110"/>
    </row>
    <row r="866" spans="1:256" s="123" customFormat="1" ht="14.25">
      <c r="A866" s="134">
        <v>37112</v>
      </c>
      <c r="B866" s="111">
        <v>36.4651</v>
      </c>
      <c r="C866" s="111">
        <f t="shared" si="14"/>
        <v>0.0364651</v>
      </c>
      <c r="D866" s="111">
        <v>21.2195</v>
      </c>
      <c r="E866" s="111">
        <v>24.2148</v>
      </c>
      <c r="F866" s="131"/>
      <c r="G866" s="109"/>
      <c r="H866" s="111"/>
      <c r="I866" s="109"/>
      <c r="J866" s="109"/>
      <c r="K866" s="110"/>
      <c r="L866" s="109"/>
      <c r="M866" s="111"/>
      <c r="N866" s="109"/>
      <c r="O866" s="109"/>
      <c r="P866" s="110"/>
      <c r="Q866" s="109"/>
      <c r="R866" s="111"/>
      <c r="S866" s="109"/>
      <c r="T866" s="109"/>
      <c r="U866" s="110"/>
      <c r="V866" s="109"/>
      <c r="W866" s="111"/>
      <c r="X866" s="109"/>
      <c r="Y866" s="109"/>
      <c r="Z866" s="110"/>
      <c r="AA866" s="109"/>
      <c r="AB866" s="111"/>
      <c r="AC866" s="109"/>
      <c r="AD866" s="109"/>
      <c r="AE866" s="110"/>
      <c r="AF866" s="109"/>
      <c r="AG866" s="111"/>
      <c r="AH866" s="109"/>
      <c r="AI866" s="109"/>
      <c r="AJ866" s="110"/>
      <c r="AK866" s="109"/>
      <c r="AL866" s="111"/>
      <c r="AM866" s="109"/>
      <c r="AN866" s="109"/>
      <c r="AO866" s="110"/>
      <c r="AP866" s="109"/>
      <c r="AQ866" s="111"/>
      <c r="AR866" s="109"/>
      <c r="AS866" s="109"/>
      <c r="AT866" s="110"/>
      <c r="AU866" s="109"/>
      <c r="AV866" s="111"/>
      <c r="AW866" s="109"/>
      <c r="AX866" s="109"/>
      <c r="AY866" s="110"/>
      <c r="AZ866" s="109"/>
      <c r="BA866" s="111"/>
      <c r="BB866" s="109"/>
      <c r="BC866" s="109"/>
      <c r="BD866" s="110"/>
      <c r="BE866" s="109"/>
      <c r="BF866" s="111"/>
      <c r="BG866" s="109"/>
      <c r="BH866" s="109"/>
      <c r="BI866" s="110"/>
      <c r="BJ866" s="109"/>
      <c r="BK866" s="111"/>
      <c r="BL866" s="109"/>
      <c r="BM866" s="109"/>
      <c r="BN866" s="110"/>
      <c r="BO866" s="109"/>
      <c r="BP866" s="111"/>
      <c r="BQ866" s="109"/>
      <c r="BR866" s="109"/>
      <c r="BS866" s="110"/>
      <c r="BT866" s="109"/>
      <c r="BU866" s="111"/>
      <c r="BV866" s="109"/>
      <c r="BW866" s="109"/>
      <c r="BX866" s="110"/>
      <c r="BY866" s="109"/>
      <c r="BZ866" s="111"/>
      <c r="CA866" s="109"/>
      <c r="CB866" s="109"/>
      <c r="CC866" s="110"/>
      <c r="CD866" s="109"/>
      <c r="CE866" s="111"/>
      <c r="CF866" s="109"/>
      <c r="CG866" s="109"/>
      <c r="CH866" s="110"/>
      <c r="CI866" s="109"/>
      <c r="CJ866" s="111"/>
      <c r="CK866" s="109"/>
      <c r="CL866" s="109"/>
      <c r="CM866" s="110"/>
      <c r="CN866" s="109"/>
      <c r="CO866" s="111"/>
      <c r="CP866" s="109"/>
      <c r="CQ866" s="109"/>
      <c r="CR866" s="110"/>
      <c r="CS866" s="109"/>
      <c r="CT866" s="111"/>
      <c r="CU866" s="109"/>
      <c r="CV866" s="109"/>
      <c r="CW866" s="110"/>
      <c r="CX866" s="109"/>
      <c r="CY866" s="111"/>
      <c r="CZ866" s="109"/>
      <c r="DA866" s="109"/>
      <c r="DB866" s="110"/>
      <c r="DC866" s="109"/>
      <c r="DD866" s="111"/>
      <c r="DE866" s="109"/>
      <c r="DF866" s="109"/>
      <c r="DG866" s="110"/>
      <c r="DH866" s="109"/>
      <c r="DI866" s="111"/>
      <c r="DJ866" s="109"/>
      <c r="DK866" s="109"/>
      <c r="DL866" s="110"/>
      <c r="DM866" s="109"/>
      <c r="DN866" s="111"/>
      <c r="DO866" s="109"/>
      <c r="DP866" s="109"/>
      <c r="DQ866" s="110"/>
      <c r="DR866" s="109"/>
      <c r="DS866" s="111"/>
      <c r="DT866" s="109"/>
      <c r="DU866" s="109"/>
      <c r="DV866" s="110"/>
      <c r="DW866" s="109"/>
      <c r="DX866" s="111"/>
      <c r="DY866" s="109"/>
      <c r="DZ866" s="109"/>
      <c r="EA866" s="110"/>
      <c r="EB866" s="109"/>
      <c r="EC866" s="111"/>
      <c r="ED866" s="109"/>
      <c r="EE866" s="109"/>
      <c r="EF866" s="110"/>
      <c r="EG866" s="109"/>
      <c r="EH866" s="111"/>
      <c r="EI866" s="109"/>
      <c r="EJ866" s="109"/>
      <c r="EK866" s="110"/>
      <c r="EL866" s="109"/>
      <c r="EM866" s="111"/>
      <c r="EN866" s="109"/>
      <c r="EO866" s="109"/>
      <c r="EP866" s="110"/>
      <c r="EQ866" s="109"/>
      <c r="ER866" s="111"/>
      <c r="ES866" s="109"/>
      <c r="ET866" s="109"/>
      <c r="EU866" s="110"/>
      <c r="EV866" s="109"/>
      <c r="EW866" s="111"/>
      <c r="EX866" s="109"/>
      <c r="EY866" s="109"/>
      <c r="EZ866" s="110"/>
      <c r="FA866" s="109"/>
      <c r="FB866" s="111"/>
      <c r="FC866" s="109"/>
      <c r="FD866" s="109"/>
      <c r="FE866" s="110"/>
      <c r="FF866" s="109"/>
      <c r="FG866" s="111"/>
      <c r="FH866" s="109"/>
      <c r="FI866" s="109"/>
      <c r="FJ866" s="110"/>
      <c r="FK866" s="109"/>
      <c r="FL866" s="111"/>
      <c r="FM866" s="109"/>
      <c r="FN866" s="109"/>
      <c r="FO866" s="110"/>
      <c r="FP866" s="109"/>
      <c r="FQ866" s="111"/>
      <c r="FR866" s="109"/>
      <c r="FS866" s="109"/>
      <c r="FT866" s="110"/>
      <c r="FU866" s="109"/>
      <c r="FV866" s="111"/>
      <c r="FW866" s="109"/>
      <c r="FX866" s="109"/>
      <c r="FY866" s="110"/>
      <c r="FZ866" s="109"/>
      <c r="GA866" s="111"/>
      <c r="GB866" s="109"/>
      <c r="GC866" s="109"/>
      <c r="GD866" s="110"/>
      <c r="GE866" s="109"/>
      <c r="GF866" s="111"/>
      <c r="GG866" s="109"/>
      <c r="GH866" s="109"/>
      <c r="GI866" s="110"/>
      <c r="GJ866" s="109"/>
      <c r="GK866" s="111"/>
      <c r="GL866" s="109"/>
      <c r="GM866" s="109"/>
      <c r="GN866" s="110"/>
      <c r="GO866" s="109"/>
      <c r="GP866" s="111"/>
      <c r="GQ866" s="109"/>
      <c r="GR866" s="109"/>
      <c r="GS866" s="110"/>
      <c r="GT866" s="109"/>
      <c r="GU866" s="111"/>
      <c r="GV866" s="109"/>
      <c r="GW866" s="109"/>
      <c r="GX866" s="110"/>
      <c r="GY866" s="109"/>
      <c r="GZ866" s="111"/>
      <c r="HA866" s="109"/>
      <c r="HB866" s="109"/>
      <c r="HC866" s="110"/>
      <c r="HD866" s="109"/>
      <c r="HE866" s="111"/>
      <c r="HF866" s="109"/>
      <c r="HG866" s="109"/>
      <c r="HH866" s="110"/>
      <c r="HI866" s="109"/>
      <c r="HJ866" s="111"/>
      <c r="HK866" s="109"/>
      <c r="HL866" s="109"/>
      <c r="HM866" s="110"/>
      <c r="HN866" s="109"/>
      <c r="HO866" s="111"/>
      <c r="HP866" s="109"/>
      <c r="HQ866" s="109"/>
      <c r="HR866" s="110"/>
      <c r="HS866" s="109"/>
      <c r="HT866" s="111"/>
      <c r="HU866" s="109"/>
      <c r="HV866" s="109"/>
      <c r="HW866" s="110"/>
      <c r="HX866" s="109"/>
      <c r="HY866" s="111"/>
      <c r="HZ866" s="109"/>
      <c r="IA866" s="109"/>
      <c r="IB866" s="110"/>
      <c r="IC866" s="109"/>
      <c r="ID866" s="111"/>
      <c r="IE866" s="109"/>
      <c r="IF866" s="109"/>
      <c r="IG866" s="110"/>
      <c r="IH866" s="109"/>
      <c r="II866" s="111"/>
      <c r="IJ866" s="109"/>
      <c r="IK866" s="109"/>
      <c r="IL866" s="110"/>
      <c r="IM866" s="109"/>
      <c r="IN866" s="111"/>
      <c r="IO866" s="109"/>
      <c r="IP866" s="109"/>
      <c r="IQ866" s="110"/>
      <c r="IR866" s="109"/>
      <c r="IS866" s="111"/>
      <c r="IT866" s="109"/>
      <c r="IU866" s="109"/>
      <c r="IV866" s="110"/>
    </row>
    <row r="867" spans="1:256" s="123" customFormat="1" ht="14.25">
      <c r="A867" s="134">
        <v>37113</v>
      </c>
      <c r="B867" s="111">
        <v>34.9584</v>
      </c>
      <c r="C867" s="111">
        <f t="shared" si="14"/>
        <v>0.0349584</v>
      </c>
      <c r="D867" s="111">
        <v>20.5544</v>
      </c>
      <c r="E867" s="111">
        <v>23.2174</v>
      </c>
      <c r="F867" s="131"/>
      <c r="G867" s="109"/>
      <c r="H867" s="111"/>
      <c r="I867" s="109"/>
      <c r="J867" s="109"/>
      <c r="K867" s="110"/>
      <c r="L867" s="109"/>
      <c r="M867" s="111"/>
      <c r="N867" s="109"/>
      <c r="O867" s="109"/>
      <c r="P867" s="110"/>
      <c r="Q867" s="109"/>
      <c r="R867" s="111"/>
      <c r="S867" s="109"/>
      <c r="T867" s="109"/>
      <c r="U867" s="110"/>
      <c r="V867" s="109"/>
      <c r="W867" s="111"/>
      <c r="X867" s="109"/>
      <c r="Y867" s="109"/>
      <c r="Z867" s="110"/>
      <c r="AA867" s="109"/>
      <c r="AB867" s="111"/>
      <c r="AC867" s="109"/>
      <c r="AD867" s="109"/>
      <c r="AE867" s="110"/>
      <c r="AF867" s="109"/>
      <c r="AG867" s="111"/>
      <c r="AH867" s="109"/>
      <c r="AI867" s="109"/>
      <c r="AJ867" s="110"/>
      <c r="AK867" s="109"/>
      <c r="AL867" s="111"/>
      <c r="AM867" s="109"/>
      <c r="AN867" s="109"/>
      <c r="AO867" s="110"/>
      <c r="AP867" s="109"/>
      <c r="AQ867" s="111"/>
      <c r="AR867" s="109"/>
      <c r="AS867" s="109"/>
      <c r="AT867" s="110"/>
      <c r="AU867" s="109"/>
      <c r="AV867" s="111"/>
      <c r="AW867" s="109"/>
      <c r="AX867" s="109"/>
      <c r="AY867" s="110"/>
      <c r="AZ867" s="109"/>
      <c r="BA867" s="111"/>
      <c r="BB867" s="109"/>
      <c r="BC867" s="109"/>
      <c r="BD867" s="110"/>
      <c r="BE867" s="109"/>
      <c r="BF867" s="111"/>
      <c r="BG867" s="109"/>
      <c r="BH867" s="109"/>
      <c r="BI867" s="110"/>
      <c r="BJ867" s="109"/>
      <c r="BK867" s="111"/>
      <c r="BL867" s="109"/>
      <c r="BM867" s="109"/>
      <c r="BN867" s="110"/>
      <c r="BO867" s="109"/>
      <c r="BP867" s="111"/>
      <c r="BQ867" s="109"/>
      <c r="BR867" s="109"/>
      <c r="BS867" s="110"/>
      <c r="BT867" s="109"/>
      <c r="BU867" s="111"/>
      <c r="BV867" s="109"/>
      <c r="BW867" s="109"/>
      <c r="BX867" s="110"/>
      <c r="BY867" s="109"/>
      <c r="BZ867" s="111"/>
      <c r="CA867" s="109"/>
      <c r="CB867" s="109"/>
      <c r="CC867" s="110"/>
      <c r="CD867" s="109"/>
      <c r="CE867" s="111"/>
      <c r="CF867" s="109"/>
      <c r="CG867" s="109"/>
      <c r="CH867" s="110"/>
      <c r="CI867" s="109"/>
      <c r="CJ867" s="111"/>
      <c r="CK867" s="109"/>
      <c r="CL867" s="109"/>
      <c r="CM867" s="110"/>
      <c r="CN867" s="109"/>
      <c r="CO867" s="111"/>
      <c r="CP867" s="109"/>
      <c r="CQ867" s="109"/>
      <c r="CR867" s="110"/>
      <c r="CS867" s="109"/>
      <c r="CT867" s="111"/>
      <c r="CU867" s="109"/>
      <c r="CV867" s="109"/>
      <c r="CW867" s="110"/>
      <c r="CX867" s="109"/>
      <c r="CY867" s="111"/>
      <c r="CZ867" s="109"/>
      <c r="DA867" s="109"/>
      <c r="DB867" s="110"/>
      <c r="DC867" s="109"/>
      <c r="DD867" s="111"/>
      <c r="DE867" s="109"/>
      <c r="DF867" s="109"/>
      <c r="DG867" s="110"/>
      <c r="DH867" s="109"/>
      <c r="DI867" s="111"/>
      <c r="DJ867" s="109"/>
      <c r="DK867" s="109"/>
      <c r="DL867" s="110"/>
      <c r="DM867" s="109"/>
      <c r="DN867" s="111"/>
      <c r="DO867" s="109"/>
      <c r="DP867" s="109"/>
      <c r="DQ867" s="110"/>
      <c r="DR867" s="109"/>
      <c r="DS867" s="111"/>
      <c r="DT867" s="109"/>
      <c r="DU867" s="109"/>
      <c r="DV867" s="110"/>
      <c r="DW867" s="109"/>
      <c r="DX867" s="111"/>
      <c r="DY867" s="109"/>
      <c r="DZ867" s="109"/>
      <c r="EA867" s="110"/>
      <c r="EB867" s="109"/>
      <c r="EC867" s="111"/>
      <c r="ED867" s="109"/>
      <c r="EE867" s="109"/>
      <c r="EF867" s="110"/>
      <c r="EG867" s="109"/>
      <c r="EH867" s="111"/>
      <c r="EI867" s="109"/>
      <c r="EJ867" s="109"/>
      <c r="EK867" s="110"/>
      <c r="EL867" s="109"/>
      <c r="EM867" s="111"/>
      <c r="EN867" s="109"/>
      <c r="EO867" s="109"/>
      <c r="EP867" s="110"/>
      <c r="EQ867" s="109"/>
      <c r="ER867" s="111"/>
      <c r="ES867" s="109"/>
      <c r="ET867" s="109"/>
      <c r="EU867" s="110"/>
      <c r="EV867" s="109"/>
      <c r="EW867" s="111"/>
      <c r="EX867" s="109"/>
      <c r="EY867" s="109"/>
      <c r="EZ867" s="110"/>
      <c r="FA867" s="109"/>
      <c r="FB867" s="111"/>
      <c r="FC867" s="109"/>
      <c r="FD867" s="109"/>
      <c r="FE867" s="110"/>
      <c r="FF867" s="109"/>
      <c r="FG867" s="111"/>
      <c r="FH867" s="109"/>
      <c r="FI867" s="109"/>
      <c r="FJ867" s="110"/>
      <c r="FK867" s="109"/>
      <c r="FL867" s="111"/>
      <c r="FM867" s="109"/>
      <c r="FN867" s="109"/>
      <c r="FO867" s="110"/>
      <c r="FP867" s="109"/>
      <c r="FQ867" s="111"/>
      <c r="FR867" s="109"/>
      <c r="FS867" s="109"/>
      <c r="FT867" s="110"/>
      <c r="FU867" s="109"/>
      <c r="FV867" s="111"/>
      <c r="FW867" s="109"/>
      <c r="FX867" s="109"/>
      <c r="FY867" s="110"/>
      <c r="FZ867" s="109"/>
      <c r="GA867" s="111"/>
      <c r="GB867" s="109"/>
      <c r="GC867" s="109"/>
      <c r="GD867" s="110"/>
      <c r="GE867" s="109"/>
      <c r="GF867" s="111"/>
      <c r="GG867" s="109"/>
      <c r="GH867" s="109"/>
      <c r="GI867" s="110"/>
      <c r="GJ867" s="109"/>
      <c r="GK867" s="111"/>
      <c r="GL867" s="109"/>
      <c r="GM867" s="109"/>
      <c r="GN867" s="110"/>
      <c r="GO867" s="109"/>
      <c r="GP867" s="111"/>
      <c r="GQ867" s="109"/>
      <c r="GR867" s="109"/>
      <c r="GS867" s="110"/>
      <c r="GT867" s="109"/>
      <c r="GU867" s="111"/>
      <c r="GV867" s="109"/>
      <c r="GW867" s="109"/>
      <c r="GX867" s="110"/>
      <c r="GY867" s="109"/>
      <c r="GZ867" s="111"/>
      <c r="HA867" s="109"/>
      <c r="HB867" s="109"/>
      <c r="HC867" s="110"/>
      <c r="HD867" s="109"/>
      <c r="HE867" s="111"/>
      <c r="HF867" s="109"/>
      <c r="HG867" s="109"/>
      <c r="HH867" s="110"/>
      <c r="HI867" s="109"/>
      <c r="HJ867" s="111"/>
      <c r="HK867" s="109"/>
      <c r="HL867" s="109"/>
      <c r="HM867" s="110"/>
      <c r="HN867" s="109"/>
      <c r="HO867" s="111"/>
      <c r="HP867" s="109"/>
      <c r="HQ867" s="109"/>
      <c r="HR867" s="110"/>
      <c r="HS867" s="109"/>
      <c r="HT867" s="111"/>
      <c r="HU867" s="109"/>
      <c r="HV867" s="109"/>
      <c r="HW867" s="110"/>
      <c r="HX867" s="109"/>
      <c r="HY867" s="111"/>
      <c r="HZ867" s="109"/>
      <c r="IA867" s="109"/>
      <c r="IB867" s="110"/>
      <c r="IC867" s="109"/>
      <c r="ID867" s="111"/>
      <c r="IE867" s="109"/>
      <c r="IF867" s="109"/>
      <c r="IG867" s="110"/>
      <c r="IH867" s="109"/>
      <c r="II867" s="111"/>
      <c r="IJ867" s="109"/>
      <c r="IK867" s="109"/>
      <c r="IL867" s="110"/>
      <c r="IM867" s="109"/>
      <c r="IN867" s="111"/>
      <c r="IO867" s="109"/>
      <c r="IP867" s="109"/>
      <c r="IQ867" s="110"/>
      <c r="IR867" s="109"/>
      <c r="IS867" s="111"/>
      <c r="IT867" s="109"/>
      <c r="IU867" s="109"/>
      <c r="IV867" s="110"/>
    </row>
    <row r="868" spans="1:256" s="123" customFormat="1" ht="14.25">
      <c r="A868" s="134">
        <v>37116</v>
      </c>
      <c r="B868" s="111">
        <v>33.7397</v>
      </c>
      <c r="C868" s="111">
        <f t="shared" si="14"/>
        <v>0.0337397</v>
      </c>
      <c r="D868" s="111">
        <v>19.9443</v>
      </c>
      <c r="E868" s="111">
        <v>22.3191</v>
      </c>
      <c r="F868" s="131"/>
      <c r="G868" s="109"/>
      <c r="H868" s="111"/>
      <c r="I868" s="109"/>
      <c r="J868" s="109"/>
      <c r="K868" s="110"/>
      <c r="L868" s="109"/>
      <c r="M868" s="111"/>
      <c r="N868" s="109"/>
      <c r="O868" s="109"/>
      <c r="P868" s="110"/>
      <c r="Q868" s="109"/>
      <c r="R868" s="111"/>
      <c r="S868" s="109"/>
      <c r="T868" s="109"/>
      <c r="U868" s="110"/>
      <c r="V868" s="109"/>
      <c r="W868" s="111"/>
      <c r="X868" s="109"/>
      <c r="Y868" s="109"/>
      <c r="Z868" s="110"/>
      <c r="AA868" s="109"/>
      <c r="AB868" s="111"/>
      <c r="AC868" s="109"/>
      <c r="AD868" s="109"/>
      <c r="AE868" s="110"/>
      <c r="AF868" s="109"/>
      <c r="AG868" s="111"/>
      <c r="AH868" s="109"/>
      <c r="AI868" s="109"/>
      <c r="AJ868" s="110"/>
      <c r="AK868" s="109"/>
      <c r="AL868" s="111"/>
      <c r="AM868" s="109"/>
      <c r="AN868" s="109"/>
      <c r="AO868" s="110"/>
      <c r="AP868" s="109"/>
      <c r="AQ868" s="111"/>
      <c r="AR868" s="109"/>
      <c r="AS868" s="109"/>
      <c r="AT868" s="110"/>
      <c r="AU868" s="109"/>
      <c r="AV868" s="111"/>
      <c r="AW868" s="109"/>
      <c r="AX868" s="109"/>
      <c r="AY868" s="110"/>
      <c r="AZ868" s="109"/>
      <c r="BA868" s="111"/>
      <c r="BB868" s="109"/>
      <c r="BC868" s="109"/>
      <c r="BD868" s="110"/>
      <c r="BE868" s="109"/>
      <c r="BF868" s="111"/>
      <c r="BG868" s="109"/>
      <c r="BH868" s="109"/>
      <c r="BI868" s="110"/>
      <c r="BJ868" s="109"/>
      <c r="BK868" s="111"/>
      <c r="BL868" s="109"/>
      <c r="BM868" s="109"/>
      <c r="BN868" s="110"/>
      <c r="BO868" s="109"/>
      <c r="BP868" s="111"/>
      <c r="BQ868" s="109"/>
      <c r="BR868" s="109"/>
      <c r="BS868" s="110"/>
      <c r="BT868" s="109"/>
      <c r="BU868" s="111"/>
      <c r="BV868" s="109"/>
      <c r="BW868" s="109"/>
      <c r="BX868" s="110"/>
      <c r="BY868" s="109"/>
      <c r="BZ868" s="111"/>
      <c r="CA868" s="109"/>
      <c r="CB868" s="109"/>
      <c r="CC868" s="110"/>
      <c r="CD868" s="109"/>
      <c r="CE868" s="111"/>
      <c r="CF868" s="109"/>
      <c r="CG868" s="109"/>
      <c r="CH868" s="110"/>
      <c r="CI868" s="109"/>
      <c r="CJ868" s="111"/>
      <c r="CK868" s="109"/>
      <c r="CL868" s="109"/>
      <c r="CM868" s="110"/>
      <c r="CN868" s="109"/>
      <c r="CO868" s="111"/>
      <c r="CP868" s="109"/>
      <c r="CQ868" s="109"/>
      <c r="CR868" s="110"/>
      <c r="CS868" s="109"/>
      <c r="CT868" s="111"/>
      <c r="CU868" s="109"/>
      <c r="CV868" s="109"/>
      <c r="CW868" s="110"/>
      <c r="CX868" s="109"/>
      <c r="CY868" s="111"/>
      <c r="CZ868" s="109"/>
      <c r="DA868" s="109"/>
      <c r="DB868" s="110"/>
      <c r="DC868" s="109"/>
      <c r="DD868" s="111"/>
      <c r="DE868" s="109"/>
      <c r="DF868" s="109"/>
      <c r="DG868" s="110"/>
      <c r="DH868" s="109"/>
      <c r="DI868" s="111"/>
      <c r="DJ868" s="109"/>
      <c r="DK868" s="109"/>
      <c r="DL868" s="110"/>
      <c r="DM868" s="109"/>
      <c r="DN868" s="111"/>
      <c r="DO868" s="109"/>
      <c r="DP868" s="109"/>
      <c r="DQ868" s="110"/>
      <c r="DR868" s="109"/>
      <c r="DS868" s="111"/>
      <c r="DT868" s="109"/>
      <c r="DU868" s="109"/>
      <c r="DV868" s="110"/>
      <c r="DW868" s="109"/>
      <c r="DX868" s="111"/>
      <c r="DY868" s="109"/>
      <c r="DZ868" s="109"/>
      <c r="EA868" s="110"/>
      <c r="EB868" s="109"/>
      <c r="EC868" s="111"/>
      <c r="ED868" s="109"/>
      <c r="EE868" s="109"/>
      <c r="EF868" s="110"/>
      <c r="EG868" s="109"/>
      <c r="EH868" s="111"/>
      <c r="EI868" s="109"/>
      <c r="EJ868" s="109"/>
      <c r="EK868" s="110"/>
      <c r="EL868" s="109"/>
      <c r="EM868" s="111"/>
      <c r="EN868" s="109"/>
      <c r="EO868" s="109"/>
      <c r="EP868" s="110"/>
      <c r="EQ868" s="109"/>
      <c r="ER868" s="111"/>
      <c r="ES868" s="109"/>
      <c r="ET868" s="109"/>
      <c r="EU868" s="110"/>
      <c r="EV868" s="109"/>
      <c r="EW868" s="111"/>
      <c r="EX868" s="109"/>
      <c r="EY868" s="109"/>
      <c r="EZ868" s="110"/>
      <c r="FA868" s="109"/>
      <c r="FB868" s="111"/>
      <c r="FC868" s="109"/>
      <c r="FD868" s="109"/>
      <c r="FE868" s="110"/>
      <c r="FF868" s="109"/>
      <c r="FG868" s="111"/>
      <c r="FH868" s="109"/>
      <c r="FI868" s="109"/>
      <c r="FJ868" s="110"/>
      <c r="FK868" s="109"/>
      <c r="FL868" s="111"/>
      <c r="FM868" s="109"/>
      <c r="FN868" s="109"/>
      <c r="FO868" s="110"/>
      <c r="FP868" s="109"/>
      <c r="FQ868" s="111"/>
      <c r="FR868" s="109"/>
      <c r="FS868" s="109"/>
      <c r="FT868" s="110"/>
      <c r="FU868" s="109"/>
      <c r="FV868" s="111"/>
      <c r="FW868" s="109"/>
      <c r="FX868" s="109"/>
      <c r="FY868" s="110"/>
      <c r="FZ868" s="109"/>
      <c r="GA868" s="111"/>
      <c r="GB868" s="109"/>
      <c r="GC868" s="109"/>
      <c r="GD868" s="110"/>
      <c r="GE868" s="109"/>
      <c r="GF868" s="111"/>
      <c r="GG868" s="109"/>
      <c r="GH868" s="109"/>
      <c r="GI868" s="110"/>
      <c r="GJ868" s="109"/>
      <c r="GK868" s="111"/>
      <c r="GL868" s="109"/>
      <c r="GM868" s="109"/>
      <c r="GN868" s="110"/>
      <c r="GO868" s="109"/>
      <c r="GP868" s="111"/>
      <c r="GQ868" s="109"/>
      <c r="GR868" s="109"/>
      <c r="GS868" s="110"/>
      <c r="GT868" s="109"/>
      <c r="GU868" s="111"/>
      <c r="GV868" s="109"/>
      <c r="GW868" s="109"/>
      <c r="GX868" s="110"/>
      <c r="GY868" s="109"/>
      <c r="GZ868" s="111"/>
      <c r="HA868" s="109"/>
      <c r="HB868" s="109"/>
      <c r="HC868" s="110"/>
      <c r="HD868" s="109"/>
      <c r="HE868" s="111"/>
      <c r="HF868" s="109"/>
      <c r="HG868" s="109"/>
      <c r="HH868" s="110"/>
      <c r="HI868" s="109"/>
      <c r="HJ868" s="111"/>
      <c r="HK868" s="109"/>
      <c r="HL868" s="109"/>
      <c r="HM868" s="110"/>
      <c r="HN868" s="109"/>
      <c r="HO868" s="111"/>
      <c r="HP868" s="109"/>
      <c r="HQ868" s="109"/>
      <c r="HR868" s="110"/>
      <c r="HS868" s="109"/>
      <c r="HT868" s="111"/>
      <c r="HU868" s="109"/>
      <c r="HV868" s="109"/>
      <c r="HW868" s="110"/>
      <c r="HX868" s="109"/>
      <c r="HY868" s="111"/>
      <c r="HZ868" s="109"/>
      <c r="IA868" s="109"/>
      <c r="IB868" s="110"/>
      <c r="IC868" s="109"/>
      <c r="ID868" s="111"/>
      <c r="IE868" s="109"/>
      <c r="IF868" s="109"/>
      <c r="IG868" s="110"/>
      <c r="IH868" s="109"/>
      <c r="II868" s="111"/>
      <c r="IJ868" s="109"/>
      <c r="IK868" s="109"/>
      <c r="IL868" s="110"/>
      <c r="IM868" s="109"/>
      <c r="IN868" s="111"/>
      <c r="IO868" s="109"/>
      <c r="IP868" s="109"/>
      <c r="IQ868" s="110"/>
      <c r="IR868" s="109"/>
      <c r="IS868" s="111"/>
      <c r="IT868" s="109"/>
      <c r="IU868" s="109"/>
      <c r="IV868" s="110"/>
    </row>
    <row r="869" spans="1:256" s="123" customFormat="1" ht="14.25">
      <c r="A869" s="134">
        <v>37117</v>
      </c>
      <c r="B869" s="111">
        <v>33.4648</v>
      </c>
      <c r="C869" s="111">
        <f t="shared" si="14"/>
        <v>0.033464799999999996</v>
      </c>
      <c r="D869" s="111">
        <v>19.8746</v>
      </c>
      <c r="E869" s="111">
        <v>22.105</v>
      </c>
      <c r="F869" s="131"/>
      <c r="G869" s="109"/>
      <c r="H869" s="111"/>
      <c r="I869" s="109"/>
      <c r="J869" s="109"/>
      <c r="K869" s="110"/>
      <c r="L869" s="109"/>
      <c r="M869" s="111"/>
      <c r="N869" s="109"/>
      <c r="O869" s="109"/>
      <c r="P869" s="110"/>
      <c r="Q869" s="109"/>
      <c r="R869" s="111"/>
      <c r="S869" s="109"/>
      <c r="T869" s="109"/>
      <c r="U869" s="110"/>
      <c r="V869" s="109"/>
      <c r="W869" s="111"/>
      <c r="X869" s="109"/>
      <c r="Y869" s="109"/>
      <c r="Z869" s="110"/>
      <c r="AA869" s="109"/>
      <c r="AB869" s="111"/>
      <c r="AC869" s="109"/>
      <c r="AD869" s="109"/>
      <c r="AE869" s="110"/>
      <c r="AF869" s="109"/>
      <c r="AG869" s="111"/>
      <c r="AH869" s="109"/>
      <c r="AI869" s="109"/>
      <c r="AJ869" s="110"/>
      <c r="AK869" s="109"/>
      <c r="AL869" s="111"/>
      <c r="AM869" s="109"/>
      <c r="AN869" s="109"/>
      <c r="AO869" s="110"/>
      <c r="AP869" s="109"/>
      <c r="AQ869" s="111"/>
      <c r="AR869" s="109"/>
      <c r="AS869" s="109"/>
      <c r="AT869" s="110"/>
      <c r="AU869" s="109"/>
      <c r="AV869" s="111"/>
      <c r="AW869" s="109"/>
      <c r="AX869" s="109"/>
      <c r="AY869" s="110"/>
      <c r="AZ869" s="109"/>
      <c r="BA869" s="111"/>
      <c r="BB869" s="109"/>
      <c r="BC869" s="109"/>
      <c r="BD869" s="110"/>
      <c r="BE869" s="109"/>
      <c r="BF869" s="111"/>
      <c r="BG869" s="109"/>
      <c r="BH869" s="109"/>
      <c r="BI869" s="110"/>
      <c r="BJ869" s="109"/>
      <c r="BK869" s="111"/>
      <c r="BL869" s="109"/>
      <c r="BM869" s="109"/>
      <c r="BN869" s="110"/>
      <c r="BO869" s="109"/>
      <c r="BP869" s="111"/>
      <c r="BQ869" s="109"/>
      <c r="BR869" s="109"/>
      <c r="BS869" s="110"/>
      <c r="BT869" s="109"/>
      <c r="BU869" s="111"/>
      <c r="BV869" s="109"/>
      <c r="BW869" s="109"/>
      <c r="BX869" s="110"/>
      <c r="BY869" s="109"/>
      <c r="BZ869" s="111"/>
      <c r="CA869" s="109"/>
      <c r="CB869" s="109"/>
      <c r="CC869" s="110"/>
      <c r="CD869" s="109"/>
      <c r="CE869" s="111"/>
      <c r="CF869" s="109"/>
      <c r="CG869" s="109"/>
      <c r="CH869" s="110"/>
      <c r="CI869" s="109"/>
      <c r="CJ869" s="111"/>
      <c r="CK869" s="109"/>
      <c r="CL869" s="109"/>
      <c r="CM869" s="110"/>
      <c r="CN869" s="109"/>
      <c r="CO869" s="111"/>
      <c r="CP869" s="109"/>
      <c r="CQ869" s="109"/>
      <c r="CR869" s="110"/>
      <c r="CS869" s="109"/>
      <c r="CT869" s="111"/>
      <c r="CU869" s="109"/>
      <c r="CV869" s="109"/>
      <c r="CW869" s="110"/>
      <c r="CX869" s="109"/>
      <c r="CY869" s="111"/>
      <c r="CZ869" s="109"/>
      <c r="DA869" s="109"/>
      <c r="DB869" s="110"/>
      <c r="DC869" s="109"/>
      <c r="DD869" s="111"/>
      <c r="DE869" s="109"/>
      <c r="DF869" s="109"/>
      <c r="DG869" s="110"/>
      <c r="DH869" s="109"/>
      <c r="DI869" s="111"/>
      <c r="DJ869" s="109"/>
      <c r="DK869" s="109"/>
      <c r="DL869" s="110"/>
      <c r="DM869" s="109"/>
      <c r="DN869" s="111"/>
      <c r="DO869" s="109"/>
      <c r="DP869" s="109"/>
      <c r="DQ869" s="110"/>
      <c r="DR869" s="109"/>
      <c r="DS869" s="111"/>
      <c r="DT869" s="109"/>
      <c r="DU869" s="109"/>
      <c r="DV869" s="110"/>
      <c r="DW869" s="109"/>
      <c r="DX869" s="111"/>
      <c r="DY869" s="109"/>
      <c r="DZ869" s="109"/>
      <c r="EA869" s="110"/>
      <c r="EB869" s="109"/>
      <c r="EC869" s="111"/>
      <c r="ED869" s="109"/>
      <c r="EE869" s="109"/>
      <c r="EF869" s="110"/>
      <c r="EG869" s="109"/>
      <c r="EH869" s="111"/>
      <c r="EI869" s="109"/>
      <c r="EJ869" s="109"/>
      <c r="EK869" s="110"/>
      <c r="EL869" s="109"/>
      <c r="EM869" s="111"/>
      <c r="EN869" s="109"/>
      <c r="EO869" s="109"/>
      <c r="EP869" s="110"/>
      <c r="EQ869" s="109"/>
      <c r="ER869" s="111"/>
      <c r="ES869" s="109"/>
      <c r="ET869" s="109"/>
      <c r="EU869" s="110"/>
      <c r="EV869" s="109"/>
      <c r="EW869" s="111"/>
      <c r="EX869" s="109"/>
      <c r="EY869" s="109"/>
      <c r="EZ869" s="110"/>
      <c r="FA869" s="109"/>
      <c r="FB869" s="111"/>
      <c r="FC869" s="109"/>
      <c r="FD869" s="109"/>
      <c r="FE869" s="110"/>
      <c r="FF869" s="109"/>
      <c r="FG869" s="111"/>
      <c r="FH869" s="109"/>
      <c r="FI869" s="109"/>
      <c r="FJ869" s="110"/>
      <c r="FK869" s="109"/>
      <c r="FL869" s="111"/>
      <c r="FM869" s="109"/>
      <c r="FN869" s="109"/>
      <c r="FO869" s="110"/>
      <c r="FP869" s="109"/>
      <c r="FQ869" s="111"/>
      <c r="FR869" s="109"/>
      <c r="FS869" s="109"/>
      <c r="FT869" s="110"/>
      <c r="FU869" s="109"/>
      <c r="FV869" s="111"/>
      <c r="FW869" s="109"/>
      <c r="FX869" s="109"/>
      <c r="FY869" s="110"/>
      <c r="FZ869" s="109"/>
      <c r="GA869" s="111"/>
      <c r="GB869" s="109"/>
      <c r="GC869" s="109"/>
      <c r="GD869" s="110"/>
      <c r="GE869" s="109"/>
      <c r="GF869" s="111"/>
      <c r="GG869" s="109"/>
      <c r="GH869" s="109"/>
      <c r="GI869" s="110"/>
      <c r="GJ869" s="109"/>
      <c r="GK869" s="111"/>
      <c r="GL869" s="109"/>
      <c r="GM869" s="109"/>
      <c r="GN869" s="110"/>
      <c r="GO869" s="109"/>
      <c r="GP869" s="111"/>
      <c r="GQ869" s="109"/>
      <c r="GR869" s="109"/>
      <c r="GS869" s="110"/>
      <c r="GT869" s="109"/>
      <c r="GU869" s="111"/>
      <c r="GV869" s="109"/>
      <c r="GW869" s="109"/>
      <c r="GX869" s="110"/>
      <c r="GY869" s="109"/>
      <c r="GZ869" s="111"/>
      <c r="HA869" s="109"/>
      <c r="HB869" s="109"/>
      <c r="HC869" s="110"/>
      <c r="HD869" s="109"/>
      <c r="HE869" s="111"/>
      <c r="HF869" s="109"/>
      <c r="HG869" s="109"/>
      <c r="HH869" s="110"/>
      <c r="HI869" s="109"/>
      <c r="HJ869" s="111"/>
      <c r="HK869" s="109"/>
      <c r="HL869" s="109"/>
      <c r="HM869" s="110"/>
      <c r="HN869" s="109"/>
      <c r="HO869" s="111"/>
      <c r="HP869" s="109"/>
      <c r="HQ869" s="109"/>
      <c r="HR869" s="110"/>
      <c r="HS869" s="109"/>
      <c r="HT869" s="111"/>
      <c r="HU869" s="109"/>
      <c r="HV869" s="109"/>
      <c r="HW869" s="110"/>
      <c r="HX869" s="109"/>
      <c r="HY869" s="111"/>
      <c r="HZ869" s="109"/>
      <c r="IA869" s="109"/>
      <c r="IB869" s="110"/>
      <c r="IC869" s="109"/>
      <c r="ID869" s="111"/>
      <c r="IE869" s="109"/>
      <c r="IF869" s="109"/>
      <c r="IG869" s="110"/>
      <c r="IH869" s="109"/>
      <c r="II869" s="111"/>
      <c r="IJ869" s="109"/>
      <c r="IK869" s="109"/>
      <c r="IL869" s="110"/>
      <c r="IM869" s="109"/>
      <c r="IN869" s="111"/>
      <c r="IO869" s="109"/>
      <c r="IP869" s="109"/>
      <c r="IQ869" s="110"/>
      <c r="IR869" s="109"/>
      <c r="IS869" s="111"/>
      <c r="IT869" s="109"/>
      <c r="IU869" s="109"/>
      <c r="IV869" s="110"/>
    </row>
    <row r="870" spans="1:256" s="123" customFormat="1" ht="14.25">
      <c r="A870" s="134">
        <v>37118</v>
      </c>
      <c r="B870" s="111">
        <v>30.9109</v>
      </c>
      <c r="C870" s="111">
        <f t="shared" si="14"/>
        <v>0.0309109</v>
      </c>
      <c r="D870" s="111">
        <v>18.2916</v>
      </c>
      <c r="E870" s="111">
        <v>20.3965</v>
      </c>
      <c r="F870" s="131"/>
      <c r="G870" s="109"/>
      <c r="H870" s="111"/>
      <c r="I870" s="109"/>
      <c r="J870" s="109"/>
      <c r="K870" s="110"/>
      <c r="L870" s="109"/>
      <c r="M870" s="111"/>
      <c r="N870" s="109"/>
      <c r="O870" s="109"/>
      <c r="P870" s="110"/>
      <c r="Q870" s="109"/>
      <c r="R870" s="111"/>
      <c r="S870" s="109"/>
      <c r="T870" s="109"/>
      <c r="U870" s="110"/>
      <c r="V870" s="109"/>
      <c r="W870" s="111"/>
      <c r="X870" s="109"/>
      <c r="Y870" s="109"/>
      <c r="Z870" s="110"/>
      <c r="AA870" s="109"/>
      <c r="AB870" s="111"/>
      <c r="AC870" s="109"/>
      <c r="AD870" s="109"/>
      <c r="AE870" s="110"/>
      <c r="AF870" s="109"/>
      <c r="AG870" s="111"/>
      <c r="AH870" s="109"/>
      <c r="AI870" s="109"/>
      <c r="AJ870" s="110"/>
      <c r="AK870" s="109"/>
      <c r="AL870" s="111"/>
      <c r="AM870" s="109"/>
      <c r="AN870" s="109"/>
      <c r="AO870" s="110"/>
      <c r="AP870" s="109"/>
      <c r="AQ870" s="111"/>
      <c r="AR870" s="109"/>
      <c r="AS870" s="109"/>
      <c r="AT870" s="110"/>
      <c r="AU870" s="109"/>
      <c r="AV870" s="111"/>
      <c r="AW870" s="109"/>
      <c r="AX870" s="109"/>
      <c r="AY870" s="110"/>
      <c r="AZ870" s="109"/>
      <c r="BA870" s="111"/>
      <c r="BB870" s="109"/>
      <c r="BC870" s="109"/>
      <c r="BD870" s="110"/>
      <c r="BE870" s="109"/>
      <c r="BF870" s="111"/>
      <c r="BG870" s="109"/>
      <c r="BH870" s="109"/>
      <c r="BI870" s="110"/>
      <c r="BJ870" s="109"/>
      <c r="BK870" s="111"/>
      <c r="BL870" s="109"/>
      <c r="BM870" s="109"/>
      <c r="BN870" s="110"/>
      <c r="BO870" s="109"/>
      <c r="BP870" s="111"/>
      <c r="BQ870" s="109"/>
      <c r="BR870" s="109"/>
      <c r="BS870" s="110"/>
      <c r="BT870" s="109"/>
      <c r="BU870" s="111"/>
      <c r="BV870" s="109"/>
      <c r="BW870" s="109"/>
      <c r="BX870" s="110"/>
      <c r="BY870" s="109"/>
      <c r="BZ870" s="111"/>
      <c r="CA870" s="109"/>
      <c r="CB870" s="109"/>
      <c r="CC870" s="110"/>
      <c r="CD870" s="109"/>
      <c r="CE870" s="111"/>
      <c r="CF870" s="109"/>
      <c r="CG870" s="109"/>
      <c r="CH870" s="110"/>
      <c r="CI870" s="109"/>
      <c r="CJ870" s="111"/>
      <c r="CK870" s="109"/>
      <c r="CL870" s="109"/>
      <c r="CM870" s="110"/>
      <c r="CN870" s="109"/>
      <c r="CO870" s="111"/>
      <c r="CP870" s="109"/>
      <c r="CQ870" s="109"/>
      <c r="CR870" s="110"/>
      <c r="CS870" s="109"/>
      <c r="CT870" s="111"/>
      <c r="CU870" s="109"/>
      <c r="CV870" s="109"/>
      <c r="CW870" s="110"/>
      <c r="CX870" s="109"/>
      <c r="CY870" s="111"/>
      <c r="CZ870" s="109"/>
      <c r="DA870" s="109"/>
      <c r="DB870" s="110"/>
      <c r="DC870" s="109"/>
      <c r="DD870" s="111"/>
      <c r="DE870" s="109"/>
      <c r="DF870" s="109"/>
      <c r="DG870" s="110"/>
      <c r="DH870" s="109"/>
      <c r="DI870" s="111"/>
      <c r="DJ870" s="109"/>
      <c r="DK870" s="109"/>
      <c r="DL870" s="110"/>
      <c r="DM870" s="109"/>
      <c r="DN870" s="111"/>
      <c r="DO870" s="109"/>
      <c r="DP870" s="109"/>
      <c r="DQ870" s="110"/>
      <c r="DR870" s="109"/>
      <c r="DS870" s="111"/>
      <c r="DT870" s="109"/>
      <c r="DU870" s="109"/>
      <c r="DV870" s="110"/>
      <c r="DW870" s="109"/>
      <c r="DX870" s="111"/>
      <c r="DY870" s="109"/>
      <c r="DZ870" s="109"/>
      <c r="EA870" s="110"/>
      <c r="EB870" s="109"/>
      <c r="EC870" s="111"/>
      <c r="ED870" s="109"/>
      <c r="EE870" s="109"/>
      <c r="EF870" s="110"/>
      <c r="EG870" s="109"/>
      <c r="EH870" s="111"/>
      <c r="EI870" s="109"/>
      <c r="EJ870" s="109"/>
      <c r="EK870" s="110"/>
      <c r="EL870" s="109"/>
      <c r="EM870" s="111"/>
      <c r="EN870" s="109"/>
      <c r="EO870" s="109"/>
      <c r="EP870" s="110"/>
      <c r="EQ870" s="109"/>
      <c r="ER870" s="111"/>
      <c r="ES870" s="109"/>
      <c r="ET870" s="109"/>
      <c r="EU870" s="110"/>
      <c r="EV870" s="109"/>
      <c r="EW870" s="111"/>
      <c r="EX870" s="109"/>
      <c r="EY870" s="109"/>
      <c r="EZ870" s="110"/>
      <c r="FA870" s="109"/>
      <c r="FB870" s="111"/>
      <c r="FC870" s="109"/>
      <c r="FD870" s="109"/>
      <c r="FE870" s="110"/>
      <c r="FF870" s="109"/>
      <c r="FG870" s="111"/>
      <c r="FH870" s="109"/>
      <c r="FI870" s="109"/>
      <c r="FJ870" s="110"/>
      <c r="FK870" s="109"/>
      <c r="FL870" s="111"/>
      <c r="FM870" s="109"/>
      <c r="FN870" s="109"/>
      <c r="FO870" s="110"/>
      <c r="FP870" s="109"/>
      <c r="FQ870" s="111"/>
      <c r="FR870" s="109"/>
      <c r="FS870" s="109"/>
      <c r="FT870" s="110"/>
      <c r="FU870" s="109"/>
      <c r="FV870" s="111"/>
      <c r="FW870" s="109"/>
      <c r="FX870" s="109"/>
      <c r="FY870" s="110"/>
      <c r="FZ870" s="109"/>
      <c r="GA870" s="111"/>
      <c r="GB870" s="109"/>
      <c r="GC870" s="109"/>
      <c r="GD870" s="110"/>
      <c r="GE870" s="109"/>
      <c r="GF870" s="111"/>
      <c r="GG870" s="109"/>
      <c r="GH870" s="109"/>
      <c r="GI870" s="110"/>
      <c r="GJ870" s="109"/>
      <c r="GK870" s="111"/>
      <c r="GL870" s="109"/>
      <c r="GM870" s="109"/>
      <c r="GN870" s="110"/>
      <c r="GO870" s="109"/>
      <c r="GP870" s="111"/>
      <c r="GQ870" s="109"/>
      <c r="GR870" s="109"/>
      <c r="GS870" s="110"/>
      <c r="GT870" s="109"/>
      <c r="GU870" s="111"/>
      <c r="GV870" s="109"/>
      <c r="GW870" s="109"/>
      <c r="GX870" s="110"/>
      <c r="GY870" s="109"/>
      <c r="GZ870" s="111"/>
      <c r="HA870" s="109"/>
      <c r="HB870" s="109"/>
      <c r="HC870" s="110"/>
      <c r="HD870" s="109"/>
      <c r="HE870" s="111"/>
      <c r="HF870" s="109"/>
      <c r="HG870" s="109"/>
      <c r="HH870" s="110"/>
      <c r="HI870" s="109"/>
      <c r="HJ870" s="111"/>
      <c r="HK870" s="109"/>
      <c r="HL870" s="109"/>
      <c r="HM870" s="110"/>
      <c r="HN870" s="109"/>
      <c r="HO870" s="111"/>
      <c r="HP870" s="109"/>
      <c r="HQ870" s="109"/>
      <c r="HR870" s="110"/>
      <c r="HS870" s="109"/>
      <c r="HT870" s="111"/>
      <c r="HU870" s="109"/>
      <c r="HV870" s="109"/>
      <c r="HW870" s="110"/>
      <c r="HX870" s="109"/>
      <c r="HY870" s="111"/>
      <c r="HZ870" s="109"/>
      <c r="IA870" s="109"/>
      <c r="IB870" s="110"/>
      <c r="IC870" s="109"/>
      <c r="ID870" s="111"/>
      <c r="IE870" s="109"/>
      <c r="IF870" s="109"/>
      <c r="IG870" s="110"/>
      <c r="IH870" s="109"/>
      <c r="II870" s="111"/>
      <c r="IJ870" s="109"/>
      <c r="IK870" s="109"/>
      <c r="IL870" s="110"/>
      <c r="IM870" s="109"/>
      <c r="IN870" s="111"/>
      <c r="IO870" s="109"/>
      <c r="IP870" s="109"/>
      <c r="IQ870" s="110"/>
      <c r="IR870" s="109"/>
      <c r="IS870" s="111"/>
      <c r="IT870" s="109"/>
      <c r="IU870" s="109"/>
      <c r="IV870" s="110"/>
    </row>
    <row r="871" spans="1:256" s="123" customFormat="1" ht="14.25">
      <c r="A871" s="134">
        <v>37119</v>
      </c>
      <c r="B871" s="111">
        <v>35.1726</v>
      </c>
      <c r="C871" s="111">
        <f t="shared" si="14"/>
        <v>0.035172600000000005</v>
      </c>
      <c r="D871" s="111">
        <v>21.1119</v>
      </c>
      <c r="E871" s="111">
        <v>23.1642</v>
      </c>
      <c r="F871" s="131"/>
      <c r="G871" s="109"/>
      <c r="H871" s="111"/>
      <c r="I871" s="109"/>
      <c r="J871" s="109"/>
      <c r="K871" s="110"/>
      <c r="L871" s="109"/>
      <c r="M871" s="111"/>
      <c r="N871" s="109"/>
      <c r="O871" s="109"/>
      <c r="P871" s="110"/>
      <c r="Q871" s="109"/>
      <c r="R871" s="111"/>
      <c r="S871" s="109"/>
      <c r="T871" s="109"/>
      <c r="U871" s="110"/>
      <c r="V871" s="109"/>
      <c r="W871" s="111"/>
      <c r="X871" s="109"/>
      <c r="Y871" s="109"/>
      <c r="Z871" s="110"/>
      <c r="AA871" s="109"/>
      <c r="AB871" s="111"/>
      <c r="AC871" s="109"/>
      <c r="AD871" s="109"/>
      <c r="AE871" s="110"/>
      <c r="AF871" s="109"/>
      <c r="AG871" s="111"/>
      <c r="AH871" s="109"/>
      <c r="AI871" s="109"/>
      <c r="AJ871" s="110"/>
      <c r="AK871" s="109"/>
      <c r="AL871" s="111"/>
      <c r="AM871" s="109"/>
      <c r="AN871" s="109"/>
      <c r="AO871" s="110"/>
      <c r="AP871" s="109"/>
      <c r="AQ871" s="111"/>
      <c r="AR871" s="109"/>
      <c r="AS871" s="109"/>
      <c r="AT871" s="110"/>
      <c r="AU871" s="109"/>
      <c r="AV871" s="111"/>
      <c r="AW871" s="109"/>
      <c r="AX871" s="109"/>
      <c r="AY871" s="110"/>
      <c r="AZ871" s="109"/>
      <c r="BA871" s="111"/>
      <c r="BB871" s="109"/>
      <c r="BC871" s="109"/>
      <c r="BD871" s="110"/>
      <c r="BE871" s="109"/>
      <c r="BF871" s="111"/>
      <c r="BG871" s="109"/>
      <c r="BH871" s="109"/>
      <c r="BI871" s="110"/>
      <c r="BJ871" s="109"/>
      <c r="BK871" s="111"/>
      <c r="BL871" s="109"/>
      <c r="BM871" s="109"/>
      <c r="BN871" s="110"/>
      <c r="BO871" s="109"/>
      <c r="BP871" s="111"/>
      <c r="BQ871" s="109"/>
      <c r="BR871" s="109"/>
      <c r="BS871" s="110"/>
      <c r="BT871" s="109"/>
      <c r="BU871" s="111"/>
      <c r="BV871" s="109"/>
      <c r="BW871" s="109"/>
      <c r="BX871" s="110"/>
      <c r="BY871" s="109"/>
      <c r="BZ871" s="111"/>
      <c r="CA871" s="109"/>
      <c r="CB871" s="109"/>
      <c r="CC871" s="110"/>
      <c r="CD871" s="109"/>
      <c r="CE871" s="111"/>
      <c r="CF871" s="109"/>
      <c r="CG871" s="109"/>
      <c r="CH871" s="110"/>
      <c r="CI871" s="109"/>
      <c r="CJ871" s="111"/>
      <c r="CK871" s="109"/>
      <c r="CL871" s="109"/>
      <c r="CM871" s="110"/>
      <c r="CN871" s="109"/>
      <c r="CO871" s="111"/>
      <c r="CP871" s="109"/>
      <c r="CQ871" s="109"/>
      <c r="CR871" s="110"/>
      <c r="CS871" s="109"/>
      <c r="CT871" s="111"/>
      <c r="CU871" s="109"/>
      <c r="CV871" s="109"/>
      <c r="CW871" s="110"/>
      <c r="CX871" s="109"/>
      <c r="CY871" s="111"/>
      <c r="CZ871" s="109"/>
      <c r="DA871" s="109"/>
      <c r="DB871" s="110"/>
      <c r="DC871" s="109"/>
      <c r="DD871" s="111"/>
      <c r="DE871" s="109"/>
      <c r="DF871" s="109"/>
      <c r="DG871" s="110"/>
      <c r="DH871" s="109"/>
      <c r="DI871" s="111"/>
      <c r="DJ871" s="109"/>
      <c r="DK871" s="109"/>
      <c r="DL871" s="110"/>
      <c r="DM871" s="109"/>
      <c r="DN871" s="111"/>
      <c r="DO871" s="109"/>
      <c r="DP871" s="109"/>
      <c r="DQ871" s="110"/>
      <c r="DR871" s="109"/>
      <c r="DS871" s="111"/>
      <c r="DT871" s="109"/>
      <c r="DU871" s="109"/>
      <c r="DV871" s="110"/>
      <c r="DW871" s="109"/>
      <c r="DX871" s="111"/>
      <c r="DY871" s="109"/>
      <c r="DZ871" s="109"/>
      <c r="EA871" s="110"/>
      <c r="EB871" s="109"/>
      <c r="EC871" s="111"/>
      <c r="ED871" s="109"/>
      <c r="EE871" s="109"/>
      <c r="EF871" s="110"/>
      <c r="EG871" s="109"/>
      <c r="EH871" s="111"/>
      <c r="EI871" s="109"/>
      <c r="EJ871" s="109"/>
      <c r="EK871" s="110"/>
      <c r="EL871" s="109"/>
      <c r="EM871" s="111"/>
      <c r="EN871" s="109"/>
      <c r="EO871" s="109"/>
      <c r="EP871" s="110"/>
      <c r="EQ871" s="109"/>
      <c r="ER871" s="111"/>
      <c r="ES871" s="109"/>
      <c r="ET871" s="109"/>
      <c r="EU871" s="110"/>
      <c r="EV871" s="109"/>
      <c r="EW871" s="111"/>
      <c r="EX871" s="109"/>
      <c r="EY871" s="109"/>
      <c r="EZ871" s="110"/>
      <c r="FA871" s="109"/>
      <c r="FB871" s="111"/>
      <c r="FC871" s="109"/>
      <c r="FD871" s="109"/>
      <c r="FE871" s="110"/>
      <c r="FF871" s="109"/>
      <c r="FG871" s="111"/>
      <c r="FH871" s="109"/>
      <c r="FI871" s="109"/>
      <c r="FJ871" s="110"/>
      <c r="FK871" s="109"/>
      <c r="FL871" s="111"/>
      <c r="FM871" s="109"/>
      <c r="FN871" s="109"/>
      <c r="FO871" s="110"/>
      <c r="FP871" s="109"/>
      <c r="FQ871" s="111"/>
      <c r="FR871" s="109"/>
      <c r="FS871" s="109"/>
      <c r="FT871" s="110"/>
      <c r="FU871" s="109"/>
      <c r="FV871" s="111"/>
      <c r="FW871" s="109"/>
      <c r="FX871" s="109"/>
      <c r="FY871" s="110"/>
      <c r="FZ871" s="109"/>
      <c r="GA871" s="111"/>
      <c r="GB871" s="109"/>
      <c r="GC871" s="109"/>
      <c r="GD871" s="110"/>
      <c r="GE871" s="109"/>
      <c r="GF871" s="111"/>
      <c r="GG871" s="109"/>
      <c r="GH871" s="109"/>
      <c r="GI871" s="110"/>
      <c r="GJ871" s="109"/>
      <c r="GK871" s="111"/>
      <c r="GL871" s="109"/>
      <c r="GM871" s="109"/>
      <c r="GN871" s="110"/>
      <c r="GO871" s="109"/>
      <c r="GP871" s="111"/>
      <c r="GQ871" s="109"/>
      <c r="GR871" s="109"/>
      <c r="GS871" s="110"/>
      <c r="GT871" s="109"/>
      <c r="GU871" s="111"/>
      <c r="GV871" s="109"/>
      <c r="GW871" s="109"/>
      <c r="GX871" s="110"/>
      <c r="GY871" s="109"/>
      <c r="GZ871" s="111"/>
      <c r="HA871" s="109"/>
      <c r="HB871" s="109"/>
      <c r="HC871" s="110"/>
      <c r="HD871" s="109"/>
      <c r="HE871" s="111"/>
      <c r="HF871" s="109"/>
      <c r="HG871" s="109"/>
      <c r="HH871" s="110"/>
      <c r="HI871" s="109"/>
      <c r="HJ871" s="111"/>
      <c r="HK871" s="109"/>
      <c r="HL871" s="109"/>
      <c r="HM871" s="110"/>
      <c r="HN871" s="109"/>
      <c r="HO871" s="111"/>
      <c r="HP871" s="109"/>
      <c r="HQ871" s="109"/>
      <c r="HR871" s="110"/>
      <c r="HS871" s="109"/>
      <c r="HT871" s="111"/>
      <c r="HU871" s="109"/>
      <c r="HV871" s="109"/>
      <c r="HW871" s="110"/>
      <c r="HX871" s="109"/>
      <c r="HY871" s="111"/>
      <c r="HZ871" s="109"/>
      <c r="IA871" s="109"/>
      <c r="IB871" s="110"/>
      <c r="IC871" s="109"/>
      <c r="ID871" s="111"/>
      <c r="IE871" s="109"/>
      <c r="IF871" s="109"/>
      <c r="IG871" s="110"/>
      <c r="IH871" s="109"/>
      <c r="II871" s="111"/>
      <c r="IJ871" s="109"/>
      <c r="IK871" s="109"/>
      <c r="IL871" s="110"/>
      <c r="IM871" s="109"/>
      <c r="IN871" s="111"/>
      <c r="IO871" s="109"/>
      <c r="IP871" s="109"/>
      <c r="IQ871" s="110"/>
      <c r="IR871" s="109"/>
      <c r="IS871" s="111"/>
      <c r="IT871" s="109"/>
      <c r="IU871" s="109"/>
      <c r="IV871" s="110"/>
    </row>
    <row r="872" spans="1:256" s="123" customFormat="1" ht="14.25">
      <c r="A872" s="134">
        <v>37120</v>
      </c>
      <c r="B872" s="111">
        <v>41.612</v>
      </c>
      <c r="C872" s="111">
        <f t="shared" si="14"/>
        <v>0.041612</v>
      </c>
      <c r="D872" s="111">
        <v>25.0445</v>
      </c>
      <c r="E872" s="111">
        <v>27.389</v>
      </c>
      <c r="F872" s="131"/>
      <c r="G872" s="109"/>
      <c r="H872" s="111"/>
      <c r="I872" s="109"/>
      <c r="J872" s="109"/>
      <c r="K872" s="110"/>
      <c r="L872" s="109"/>
      <c r="M872" s="111"/>
      <c r="N872" s="109"/>
      <c r="O872" s="109"/>
      <c r="P872" s="110"/>
      <c r="Q872" s="109"/>
      <c r="R872" s="111"/>
      <c r="S872" s="109"/>
      <c r="T872" s="109"/>
      <c r="U872" s="110"/>
      <c r="V872" s="109"/>
      <c r="W872" s="111"/>
      <c r="X872" s="109"/>
      <c r="Y872" s="109"/>
      <c r="Z872" s="110"/>
      <c r="AA872" s="109"/>
      <c r="AB872" s="111"/>
      <c r="AC872" s="109"/>
      <c r="AD872" s="109"/>
      <c r="AE872" s="110"/>
      <c r="AF872" s="109"/>
      <c r="AG872" s="111"/>
      <c r="AH872" s="109"/>
      <c r="AI872" s="109"/>
      <c r="AJ872" s="110"/>
      <c r="AK872" s="109"/>
      <c r="AL872" s="111"/>
      <c r="AM872" s="109"/>
      <c r="AN872" s="109"/>
      <c r="AO872" s="110"/>
      <c r="AP872" s="109"/>
      <c r="AQ872" s="111"/>
      <c r="AR872" s="109"/>
      <c r="AS872" s="109"/>
      <c r="AT872" s="110"/>
      <c r="AU872" s="109"/>
      <c r="AV872" s="111"/>
      <c r="AW872" s="109"/>
      <c r="AX872" s="109"/>
      <c r="AY872" s="110"/>
      <c r="AZ872" s="109"/>
      <c r="BA872" s="111"/>
      <c r="BB872" s="109"/>
      <c r="BC872" s="109"/>
      <c r="BD872" s="110"/>
      <c r="BE872" s="109"/>
      <c r="BF872" s="111"/>
      <c r="BG872" s="109"/>
      <c r="BH872" s="109"/>
      <c r="BI872" s="110"/>
      <c r="BJ872" s="109"/>
      <c r="BK872" s="111"/>
      <c r="BL872" s="109"/>
      <c r="BM872" s="109"/>
      <c r="BN872" s="110"/>
      <c r="BO872" s="109"/>
      <c r="BP872" s="111"/>
      <c r="BQ872" s="109"/>
      <c r="BR872" s="109"/>
      <c r="BS872" s="110"/>
      <c r="BT872" s="109"/>
      <c r="BU872" s="111"/>
      <c r="BV872" s="109"/>
      <c r="BW872" s="109"/>
      <c r="BX872" s="110"/>
      <c r="BY872" s="109"/>
      <c r="BZ872" s="111"/>
      <c r="CA872" s="109"/>
      <c r="CB872" s="109"/>
      <c r="CC872" s="110"/>
      <c r="CD872" s="109"/>
      <c r="CE872" s="111"/>
      <c r="CF872" s="109"/>
      <c r="CG872" s="109"/>
      <c r="CH872" s="110"/>
      <c r="CI872" s="109"/>
      <c r="CJ872" s="111"/>
      <c r="CK872" s="109"/>
      <c r="CL872" s="109"/>
      <c r="CM872" s="110"/>
      <c r="CN872" s="109"/>
      <c r="CO872" s="111"/>
      <c r="CP872" s="109"/>
      <c r="CQ872" s="109"/>
      <c r="CR872" s="110"/>
      <c r="CS872" s="109"/>
      <c r="CT872" s="111"/>
      <c r="CU872" s="109"/>
      <c r="CV872" s="109"/>
      <c r="CW872" s="110"/>
      <c r="CX872" s="109"/>
      <c r="CY872" s="111"/>
      <c r="CZ872" s="109"/>
      <c r="DA872" s="109"/>
      <c r="DB872" s="110"/>
      <c r="DC872" s="109"/>
      <c r="DD872" s="111"/>
      <c r="DE872" s="109"/>
      <c r="DF872" s="109"/>
      <c r="DG872" s="110"/>
      <c r="DH872" s="109"/>
      <c r="DI872" s="111"/>
      <c r="DJ872" s="109"/>
      <c r="DK872" s="109"/>
      <c r="DL872" s="110"/>
      <c r="DM872" s="109"/>
      <c r="DN872" s="111"/>
      <c r="DO872" s="109"/>
      <c r="DP872" s="109"/>
      <c r="DQ872" s="110"/>
      <c r="DR872" s="109"/>
      <c r="DS872" s="111"/>
      <c r="DT872" s="109"/>
      <c r="DU872" s="109"/>
      <c r="DV872" s="110"/>
      <c r="DW872" s="109"/>
      <c r="DX872" s="111"/>
      <c r="DY872" s="109"/>
      <c r="DZ872" s="109"/>
      <c r="EA872" s="110"/>
      <c r="EB872" s="109"/>
      <c r="EC872" s="111"/>
      <c r="ED872" s="109"/>
      <c r="EE872" s="109"/>
      <c r="EF872" s="110"/>
      <c r="EG872" s="109"/>
      <c r="EH872" s="111"/>
      <c r="EI872" s="109"/>
      <c r="EJ872" s="109"/>
      <c r="EK872" s="110"/>
      <c r="EL872" s="109"/>
      <c r="EM872" s="111"/>
      <c r="EN872" s="109"/>
      <c r="EO872" s="109"/>
      <c r="EP872" s="110"/>
      <c r="EQ872" s="109"/>
      <c r="ER872" s="111"/>
      <c r="ES872" s="109"/>
      <c r="ET872" s="109"/>
      <c r="EU872" s="110"/>
      <c r="EV872" s="109"/>
      <c r="EW872" s="111"/>
      <c r="EX872" s="109"/>
      <c r="EY872" s="109"/>
      <c r="EZ872" s="110"/>
      <c r="FA872" s="109"/>
      <c r="FB872" s="111"/>
      <c r="FC872" s="109"/>
      <c r="FD872" s="109"/>
      <c r="FE872" s="110"/>
      <c r="FF872" s="109"/>
      <c r="FG872" s="111"/>
      <c r="FH872" s="109"/>
      <c r="FI872" s="109"/>
      <c r="FJ872" s="110"/>
      <c r="FK872" s="109"/>
      <c r="FL872" s="111"/>
      <c r="FM872" s="109"/>
      <c r="FN872" s="109"/>
      <c r="FO872" s="110"/>
      <c r="FP872" s="109"/>
      <c r="FQ872" s="111"/>
      <c r="FR872" s="109"/>
      <c r="FS872" s="109"/>
      <c r="FT872" s="110"/>
      <c r="FU872" s="109"/>
      <c r="FV872" s="111"/>
      <c r="FW872" s="109"/>
      <c r="FX872" s="109"/>
      <c r="FY872" s="110"/>
      <c r="FZ872" s="109"/>
      <c r="GA872" s="111"/>
      <c r="GB872" s="109"/>
      <c r="GC872" s="109"/>
      <c r="GD872" s="110"/>
      <c r="GE872" s="109"/>
      <c r="GF872" s="111"/>
      <c r="GG872" s="109"/>
      <c r="GH872" s="109"/>
      <c r="GI872" s="110"/>
      <c r="GJ872" s="109"/>
      <c r="GK872" s="111"/>
      <c r="GL872" s="109"/>
      <c r="GM872" s="109"/>
      <c r="GN872" s="110"/>
      <c r="GO872" s="109"/>
      <c r="GP872" s="111"/>
      <c r="GQ872" s="109"/>
      <c r="GR872" s="109"/>
      <c r="GS872" s="110"/>
      <c r="GT872" s="109"/>
      <c r="GU872" s="111"/>
      <c r="GV872" s="109"/>
      <c r="GW872" s="109"/>
      <c r="GX872" s="110"/>
      <c r="GY872" s="109"/>
      <c r="GZ872" s="111"/>
      <c r="HA872" s="109"/>
      <c r="HB872" s="109"/>
      <c r="HC872" s="110"/>
      <c r="HD872" s="109"/>
      <c r="HE872" s="111"/>
      <c r="HF872" s="109"/>
      <c r="HG872" s="109"/>
      <c r="HH872" s="110"/>
      <c r="HI872" s="109"/>
      <c r="HJ872" s="111"/>
      <c r="HK872" s="109"/>
      <c r="HL872" s="109"/>
      <c r="HM872" s="110"/>
      <c r="HN872" s="109"/>
      <c r="HO872" s="111"/>
      <c r="HP872" s="109"/>
      <c r="HQ872" s="109"/>
      <c r="HR872" s="110"/>
      <c r="HS872" s="109"/>
      <c r="HT872" s="111"/>
      <c r="HU872" s="109"/>
      <c r="HV872" s="109"/>
      <c r="HW872" s="110"/>
      <c r="HX872" s="109"/>
      <c r="HY872" s="111"/>
      <c r="HZ872" s="109"/>
      <c r="IA872" s="109"/>
      <c r="IB872" s="110"/>
      <c r="IC872" s="109"/>
      <c r="ID872" s="111"/>
      <c r="IE872" s="109"/>
      <c r="IF872" s="109"/>
      <c r="IG872" s="110"/>
      <c r="IH872" s="109"/>
      <c r="II872" s="111"/>
      <c r="IJ872" s="109"/>
      <c r="IK872" s="109"/>
      <c r="IL872" s="110"/>
      <c r="IM872" s="109"/>
      <c r="IN872" s="111"/>
      <c r="IO872" s="109"/>
      <c r="IP872" s="109"/>
      <c r="IQ872" s="110"/>
      <c r="IR872" s="109"/>
      <c r="IS872" s="111"/>
      <c r="IT872" s="109"/>
      <c r="IU872" s="109"/>
      <c r="IV872" s="110"/>
    </row>
    <row r="873" spans="1:256" s="123" customFormat="1" ht="14.25">
      <c r="A873" s="134">
        <v>37123</v>
      </c>
      <c r="B873" s="111">
        <v>48.0432</v>
      </c>
      <c r="C873" s="111">
        <f t="shared" si="14"/>
        <v>0.0480432</v>
      </c>
      <c r="D873" s="111">
        <v>28.9152</v>
      </c>
      <c r="E873" s="111">
        <v>31.6428</v>
      </c>
      <c r="F873" s="131"/>
      <c r="G873" s="109"/>
      <c r="H873" s="111"/>
      <c r="I873" s="109"/>
      <c r="J873" s="109"/>
      <c r="K873" s="110"/>
      <c r="L873" s="109"/>
      <c r="M873" s="111"/>
      <c r="N873" s="109"/>
      <c r="O873" s="109"/>
      <c r="P873" s="110"/>
      <c r="Q873" s="109"/>
      <c r="R873" s="111"/>
      <c r="S873" s="109"/>
      <c r="T873" s="109"/>
      <c r="U873" s="110"/>
      <c r="V873" s="109"/>
      <c r="W873" s="111"/>
      <c r="X873" s="109"/>
      <c r="Y873" s="109"/>
      <c r="Z873" s="110"/>
      <c r="AA873" s="109"/>
      <c r="AB873" s="111"/>
      <c r="AC873" s="109"/>
      <c r="AD873" s="109"/>
      <c r="AE873" s="110"/>
      <c r="AF873" s="109"/>
      <c r="AG873" s="111"/>
      <c r="AH873" s="109"/>
      <c r="AI873" s="109"/>
      <c r="AJ873" s="110"/>
      <c r="AK873" s="109"/>
      <c r="AL873" s="111"/>
      <c r="AM873" s="109"/>
      <c r="AN873" s="109"/>
      <c r="AO873" s="110"/>
      <c r="AP873" s="109"/>
      <c r="AQ873" s="111"/>
      <c r="AR873" s="109"/>
      <c r="AS873" s="109"/>
      <c r="AT873" s="110"/>
      <c r="AU873" s="109"/>
      <c r="AV873" s="111"/>
      <c r="AW873" s="109"/>
      <c r="AX873" s="109"/>
      <c r="AY873" s="110"/>
      <c r="AZ873" s="109"/>
      <c r="BA873" s="111"/>
      <c r="BB873" s="109"/>
      <c r="BC873" s="109"/>
      <c r="BD873" s="110"/>
      <c r="BE873" s="109"/>
      <c r="BF873" s="111"/>
      <c r="BG873" s="109"/>
      <c r="BH873" s="109"/>
      <c r="BI873" s="110"/>
      <c r="BJ873" s="109"/>
      <c r="BK873" s="111"/>
      <c r="BL873" s="109"/>
      <c r="BM873" s="109"/>
      <c r="BN873" s="110"/>
      <c r="BO873" s="109"/>
      <c r="BP873" s="111"/>
      <c r="BQ873" s="109"/>
      <c r="BR873" s="109"/>
      <c r="BS873" s="110"/>
      <c r="BT873" s="109"/>
      <c r="BU873" s="111"/>
      <c r="BV873" s="109"/>
      <c r="BW873" s="109"/>
      <c r="BX873" s="110"/>
      <c r="BY873" s="109"/>
      <c r="BZ873" s="111"/>
      <c r="CA873" s="109"/>
      <c r="CB873" s="109"/>
      <c r="CC873" s="110"/>
      <c r="CD873" s="109"/>
      <c r="CE873" s="111"/>
      <c r="CF873" s="109"/>
      <c r="CG873" s="109"/>
      <c r="CH873" s="110"/>
      <c r="CI873" s="109"/>
      <c r="CJ873" s="111"/>
      <c r="CK873" s="109"/>
      <c r="CL873" s="109"/>
      <c r="CM873" s="110"/>
      <c r="CN873" s="109"/>
      <c r="CO873" s="111"/>
      <c r="CP873" s="109"/>
      <c r="CQ873" s="109"/>
      <c r="CR873" s="110"/>
      <c r="CS873" s="109"/>
      <c r="CT873" s="111"/>
      <c r="CU873" s="109"/>
      <c r="CV873" s="109"/>
      <c r="CW873" s="110"/>
      <c r="CX873" s="109"/>
      <c r="CY873" s="111"/>
      <c r="CZ873" s="109"/>
      <c r="DA873" s="109"/>
      <c r="DB873" s="110"/>
      <c r="DC873" s="109"/>
      <c r="DD873" s="111"/>
      <c r="DE873" s="109"/>
      <c r="DF873" s="109"/>
      <c r="DG873" s="110"/>
      <c r="DH873" s="109"/>
      <c r="DI873" s="111"/>
      <c r="DJ873" s="109"/>
      <c r="DK873" s="109"/>
      <c r="DL873" s="110"/>
      <c r="DM873" s="109"/>
      <c r="DN873" s="111"/>
      <c r="DO873" s="109"/>
      <c r="DP873" s="109"/>
      <c r="DQ873" s="110"/>
      <c r="DR873" s="109"/>
      <c r="DS873" s="111"/>
      <c r="DT873" s="109"/>
      <c r="DU873" s="109"/>
      <c r="DV873" s="110"/>
      <c r="DW873" s="109"/>
      <c r="DX873" s="111"/>
      <c r="DY873" s="109"/>
      <c r="DZ873" s="109"/>
      <c r="EA873" s="110"/>
      <c r="EB873" s="109"/>
      <c r="EC873" s="111"/>
      <c r="ED873" s="109"/>
      <c r="EE873" s="109"/>
      <c r="EF873" s="110"/>
      <c r="EG873" s="109"/>
      <c r="EH873" s="111"/>
      <c r="EI873" s="109"/>
      <c r="EJ873" s="109"/>
      <c r="EK873" s="110"/>
      <c r="EL873" s="109"/>
      <c r="EM873" s="111"/>
      <c r="EN873" s="109"/>
      <c r="EO873" s="109"/>
      <c r="EP873" s="110"/>
      <c r="EQ873" s="109"/>
      <c r="ER873" s="111"/>
      <c r="ES873" s="109"/>
      <c r="ET873" s="109"/>
      <c r="EU873" s="110"/>
      <c r="EV873" s="109"/>
      <c r="EW873" s="111"/>
      <c r="EX873" s="109"/>
      <c r="EY873" s="109"/>
      <c r="EZ873" s="110"/>
      <c r="FA873" s="109"/>
      <c r="FB873" s="111"/>
      <c r="FC873" s="109"/>
      <c r="FD873" s="109"/>
      <c r="FE873" s="110"/>
      <c r="FF873" s="109"/>
      <c r="FG873" s="111"/>
      <c r="FH873" s="109"/>
      <c r="FI873" s="109"/>
      <c r="FJ873" s="110"/>
      <c r="FK873" s="109"/>
      <c r="FL873" s="111"/>
      <c r="FM873" s="109"/>
      <c r="FN873" s="109"/>
      <c r="FO873" s="110"/>
      <c r="FP873" s="109"/>
      <c r="FQ873" s="111"/>
      <c r="FR873" s="109"/>
      <c r="FS873" s="109"/>
      <c r="FT873" s="110"/>
      <c r="FU873" s="109"/>
      <c r="FV873" s="111"/>
      <c r="FW873" s="109"/>
      <c r="FX873" s="109"/>
      <c r="FY873" s="110"/>
      <c r="FZ873" s="109"/>
      <c r="GA873" s="111"/>
      <c r="GB873" s="109"/>
      <c r="GC873" s="109"/>
      <c r="GD873" s="110"/>
      <c r="GE873" s="109"/>
      <c r="GF873" s="111"/>
      <c r="GG873" s="109"/>
      <c r="GH873" s="109"/>
      <c r="GI873" s="110"/>
      <c r="GJ873" s="109"/>
      <c r="GK873" s="111"/>
      <c r="GL873" s="109"/>
      <c r="GM873" s="109"/>
      <c r="GN873" s="110"/>
      <c r="GO873" s="109"/>
      <c r="GP873" s="111"/>
      <c r="GQ873" s="109"/>
      <c r="GR873" s="109"/>
      <c r="GS873" s="110"/>
      <c r="GT873" s="109"/>
      <c r="GU873" s="111"/>
      <c r="GV873" s="109"/>
      <c r="GW873" s="109"/>
      <c r="GX873" s="110"/>
      <c r="GY873" s="109"/>
      <c r="GZ873" s="111"/>
      <c r="HA873" s="109"/>
      <c r="HB873" s="109"/>
      <c r="HC873" s="110"/>
      <c r="HD873" s="109"/>
      <c r="HE873" s="111"/>
      <c r="HF873" s="109"/>
      <c r="HG873" s="109"/>
      <c r="HH873" s="110"/>
      <c r="HI873" s="109"/>
      <c r="HJ873" s="111"/>
      <c r="HK873" s="109"/>
      <c r="HL873" s="109"/>
      <c r="HM873" s="110"/>
      <c r="HN873" s="109"/>
      <c r="HO873" s="111"/>
      <c r="HP873" s="109"/>
      <c r="HQ873" s="109"/>
      <c r="HR873" s="110"/>
      <c r="HS873" s="109"/>
      <c r="HT873" s="111"/>
      <c r="HU873" s="109"/>
      <c r="HV873" s="109"/>
      <c r="HW873" s="110"/>
      <c r="HX873" s="109"/>
      <c r="HY873" s="111"/>
      <c r="HZ873" s="109"/>
      <c r="IA873" s="109"/>
      <c r="IB873" s="110"/>
      <c r="IC873" s="109"/>
      <c r="ID873" s="111"/>
      <c r="IE873" s="109"/>
      <c r="IF873" s="109"/>
      <c r="IG873" s="110"/>
      <c r="IH873" s="109"/>
      <c r="II873" s="111"/>
      <c r="IJ873" s="109"/>
      <c r="IK873" s="109"/>
      <c r="IL873" s="110"/>
      <c r="IM873" s="109"/>
      <c r="IN873" s="111"/>
      <c r="IO873" s="109"/>
      <c r="IP873" s="109"/>
      <c r="IQ873" s="110"/>
      <c r="IR873" s="109"/>
      <c r="IS873" s="111"/>
      <c r="IT873" s="109"/>
      <c r="IU873" s="109"/>
      <c r="IV873" s="110"/>
    </row>
    <row r="874" spans="1:256" s="123" customFormat="1" ht="14.25">
      <c r="A874" s="134">
        <v>37124</v>
      </c>
      <c r="B874" s="111">
        <v>52.7702</v>
      </c>
      <c r="C874" s="111">
        <f t="shared" si="14"/>
        <v>0.0527702</v>
      </c>
      <c r="D874" s="111">
        <v>31.79</v>
      </c>
      <c r="E874" s="111">
        <v>34.747</v>
      </c>
      <c r="F874" s="131"/>
      <c r="G874" s="109"/>
      <c r="H874" s="111"/>
      <c r="I874" s="109"/>
      <c r="J874" s="109"/>
      <c r="K874" s="110"/>
      <c r="L874" s="109"/>
      <c r="M874" s="111"/>
      <c r="N874" s="109"/>
      <c r="O874" s="109"/>
      <c r="P874" s="110"/>
      <c r="Q874" s="109"/>
      <c r="R874" s="111"/>
      <c r="S874" s="109"/>
      <c r="T874" s="109"/>
      <c r="U874" s="110"/>
      <c r="V874" s="109"/>
      <c r="W874" s="111"/>
      <c r="X874" s="109"/>
      <c r="Y874" s="109"/>
      <c r="Z874" s="110"/>
      <c r="AA874" s="109"/>
      <c r="AB874" s="111"/>
      <c r="AC874" s="109"/>
      <c r="AD874" s="109"/>
      <c r="AE874" s="110"/>
      <c r="AF874" s="109"/>
      <c r="AG874" s="111"/>
      <c r="AH874" s="109"/>
      <c r="AI874" s="109"/>
      <c r="AJ874" s="110"/>
      <c r="AK874" s="109"/>
      <c r="AL874" s="111"/>
      <c r="AM874" s="109"/>
      <c r="AN874" s="109"/>
      <c r="AO874" s="110"/>
      <c r="AP874" s="109"/>
      <c r="AQ874" s="111"/>
      <c r="AR874" s="109"/>
      <c r="AS874" s="109"/>
      <c r="AT874" s="110"/>
      <c r="AU874" s="109"/>
      <c r="AV874" s="111"/>
      <c r="AW874" s="109"/>
      <c r="AX874" s="109"/>
      <c r="AY874" s="110"/>
      <c r="AZ874" s="109"/>
      <c r="BA874" s="111"/>
      <c r="BB874" s="109"/>
      <c r="BC874" s="109"/>
      <c r="BD874" s="110"/>
      <c r="BE874" s="109"/>
      <c r="BF874" s="111"/>
      <c r="BG874" s="109"/>
      <c r="BH874" s="109"/>
      <c r="BI874" s="110"/>
      <c r="BJ874" s="109"/>
      <c r="BK874" s="111"/>
      <c r="BL874" s="109"/>
      <c r="BM874" s="109"/>
      <c r="BN874" s="110"/>
      <c r="BO874" s="109"/>
      <c r="BP874" s="111"/>
      <c r="BQ874" s="109"/>
      <c r="BR874" s="109"/>
      <c r="BS874" s="110"/>
      <c r="BT874" s="109"/>
      <c r="BU874" s="111"/>
      <c r="BV874" s="109"/>
      <c r="BW874" s="109"/>
      <c r="BX874" s="110"/>
      <c r="BY874" s="109"/>
      <c r="BZ874" s="111"/>
      <c r="CA874" s="109"/>
      <c r="CB874" s="109"/>
      <c r="CC874" s="110"/>
      <c r="CD874" s="109"/>
      <c r="CE874" s="111"/>
      <c r="CF874" s="109"/>
      <c r="CG874" s="109"/>
      <c r="CH874" s="110"/>
      <c r="CI874" s="109"/>
      <c r="CJ874" s="111"/>
      <c r="CK874" s="109"/>
      <c r="CL874" s="109"/>
      <c r="CM874" s="110"/>
      <c r="CN874" s="109"/>
      <c r="CO874" s="111"/>
      <c r="CP874" s="109"/>
      <c r="CQ874" s="109"/>
      <c r="CR874" s="110"/>
      <c r="CS874" s="109"/>
      <c r="CT874" s="111"/>
      <c r="CU874" s="109"/>
      <c r="CV874" s="109"/>
      <c r="CW874" s="110"/>
      <c r="CX874" s="109"/>
      <c r="CY874" s="111"/>
      <c r="CZ874" s="109"/>
      <c r="DA874" s="109"/>
      <c r="DB874" s="110"/>
      <c r="DC874" s="109"/>
      <c r="DD874" s="111"/>
      <c r="DE874" s="109"/>
      <c r="DF874" s="109"/>
      <c r="DG874" s="110"/>
      <c r="DH874" s="109"/>
      <c r="DI874" s="111"/>
      <c r="DJ874" s="109"/>
      <c r="DK874" s="109"/>
      <c r="DL874" s="110"/>
      <c r="DM874" s="109"/>
      <c r="DN874" s="111"/>
      <c r="DO874" s="109"/>
      <c r="DP874" s="109"/>
      <c r="DQ874" s="110"/>
      <c r="DR874" s="109"/>
      <c r="DS874" s="111"/>
      <c r="DT874" s="109"/>
      <c r="DU874" s="109"/>
      <c r="DV874" s="110"/>
      <c r="DW874" s="109"/>
      <c r="DX874" s="111"/>
      <c r="DY874" s="109"/>
      <c r="DZ874" s="109"/>
      <c r="EA874" s="110"/>
      <c r="EB874" s="109"/>
      <c r="EC874" s="111"/>
      <c r="ED874" s="109"/>
      <c r="EE874" s="109"/>
      <c r="EF874" s="110"/>
      <c r="EG874" s="109"/>
      <c r="EH874" s="111"/>
      <c r="EI874" s="109"/>
      <c r="EJ874" s="109"/>
      <c r="EK874" s="110"/>
      <c r="EL874" s="109"/>
      <c r="EM874" s="111"/>
      <c r="EN874" s="109"/>
      <c r="EO874" s="109"/>
      <c r="EP874" s="110"/>
      <c r="EQ874" s="109"/>
      <c r="ER874" s="111"/>
      <c r="ES874" s="109"/>
      <c r="ET874" s="109"/>
      <c r="EU874" s="110"/>
      <c r="EV874" s="109"/>
      <c r="EW874" s="111"/>
      <c r="EX874" s="109"/>
      <c r="EY874" s="109"/>
      <c r="EZ874" s="110"/>
      <c r="FA874" s="109"/>
      <c r="FB874" s="111"/>
      <c r="FC874" s="109"/>
      <c r="FD874" s="109"/>
      <c r="FE874" s="110"/>
      <c r="FF874" s="109"/>
      <c r="FG874" s="111"/>
      <c r="FH874" s="109"/>
      <c r="FI874" s="109"/>
      <c r="FJ874" s="110"/>
      <c r="FK874" s="109"/>
      <c r="FL874" s="111"/>
      <c r="FM874" s="109"/>
      <c r="FN874" s="109"/>
      <c r="FO874" s="110"/>
      <c r="FP874" s="109"/>
      <c r="FQ874" s="111"/>
      <c r="FR874" s="109"/>
      <c r="FS874" s="109"/>
      <c r="FT874" s="110"/>
      <c r="FU874" s="109"/>
      <c r="FV874" s="111"/>
      <c r="FW874" s="109"/>
      <c r="FX874" s="109"/>
      <c r="FY874" s="110"/>
      <c r="FZ874" s="109"/>
      <c r="GA874" s="111"/>
      <c r="GB874" s="109"/>
      <c r="GC874" s="109"/>
      <c r="GD874" s="110"/>
      <c r="GE874" s="109"/>
      <c r="GF874" s="111"/>
      <c r="GG874" s="109"/>
      <c r="GH874" s="109"/>
      <c r="GI874" s="110"/>
      <c r="GJ874" s="109"/>
      <c r="GK874" s="111"/>
      <c r="GL874" s="109"/>
      <c r="GM874" s="109"/>
      <c r="GN874" s="110"/>
      <c r="GO874" s="109"/>
      <c r="GP874" s="111"/>
      <c r="GQ874" s="109"/>
      <c r="GR874" s="109"/>
      <c r="GS874" s="110"/>
      <c r="GT874" s="109"/>
      <c r="GU874" s="111"/>
      <c r="GV874" s="109"/>
      <c r="GW874" s="109"/>
      <c r="GX874" s="110"/>
      <c r="GY874" s="109"/>
      <c r="GZ874" s="111"/>
      <c r="HA874" s="109"/>
      <c r="HB874" s="109"/>
      <c r="HC874" s="110"/>
      <c r="HD874" s="109"/>
      <c r="HE874" s="111"/>
      <c r="HF874" s="109"/>
      <c r="HG874" s="109"/>
      <c r="HH874" s="110"/>
      <c r="HI874" s="109"/>
      <c r="HJ874" s="111"/>
      <c r="HK874" s="109"/>
      <c r="HL874" s="109"/>
      <c r="HM874" s="110"/>
      <c r="HN874" s="109"/>
      <c r="HO874" s="111"/>
      <c r="HP874" s="109"/>
      <c r="HQ874" s="109"/>
      <c r="HR874" s="110"/>
      <c r="HS874" s="109"/>
      <c r="HT874" s="111"/>
      <c r="HU874" s="109"/>
      <c r="HV874" s="109"/>
      <c r="HW874" s="110"/>
      <c r="HX874" s="109"/>
      <c r="HY874" s="111"/>
      <c r="HZ874" s="109"/>
      <c r="IA874" s="109"/>
      <c r="IB874" s="110"/>
      <c r="IC874" s="109"/>
      <c r="ID874" s="111"/>
      <c r="IE874" s="109"/>
      <c r="IF874" s="109"/>
      <c r="IG874" s="110"/>
      <c r="IH874" s="109"/>
      <c r="II874" s="111"/>
      <c r="IJ874" s="109"/>
      <c r="IK874" s="109"/>
      <c r="IL874" s="110"/>
      <c r="IM874" s="109"/>
      <c r="IN874" s="111"/>
      <c r="IO874" s="109"/>
      <c r="IP874" s="109"/>
      <c r="IQ874" s="110"/>
      <c r="IR874" s="109"/>
      <c r="IS874" s="111"/>
      <c r="IT874" s="109"/>
      <c r="IU874" s="109"/>
      <c r="IV874" s="110"/>
    </row>
    <row r="875" spans="1:256" s="123" customFormat="1" ht="14.25">
      <c r="A875" s="134">
        <v>37125</v>
      </c>
      <c r="B875" s="111">
        <v>60.0474</v>
      </c>
      <c r="C875" s="111">
        <f t="shared" si="14"/>
        <v>0.06004740000000001</v>
      </c>
      <c r="D875" s="111">
        <v>36.1409</v>
      </c>
      <c r="E875" s="111">
        <v>39.5934</v>
      </c>
      <c r="F875" s="131"/>
      <c r="G875" s="109"/>
      <c r="H875" s="111"/>
      <c r="I875" s="109"/>
      <c r="J875" s="109"/>
      <c r="K875" s="110"/>
      <c r="L875" s="109"/>
      <c r="M875" s="111"/>
      <c r="N875" s="109"/>
      <c r="O875" s="109"/>
      <c r="P875" s="110"/>
      <c r="Q875" s="109"/>
      <c r="R875" s="111"/>
      <c r="S875" s="109"/>
      <c r="T875" s="109"/>
      <c r="U875" s="110"/>
      <c r="V875" s="109"/>
      <c r="W875" s="111"/>
      <c r="X875" s="109"/>
      <c r="Y875" s="109"/>
      <c r="Z875" s="110"/>
      <c r="AA875" s="109"/>
      <c r="AB875" s="111"/>
      <c r="AC875" s="109"/>
      <c r="AD875" s="109"/>
      <c r="AE875" s="110"/>
      <c r="AF875" s="109"/>
      <c r="AG875" s="111"/>
      <c r="AH875" s="109"/>
      <c r="AI875" s="109"/>
      <c r="AJ875" s="110"/>
      <c r="AK875" s="109"/>
      <c r="AL875" s="111"/>
      <c r="AM875" s="109"/>
      <c r="AN875" s="109"/>
      <c r="AO875" s="110"/>
      <c r="AP875" s="109"/>
      <c r="AQ875" s="111"/>
      <c r="AR875" s="109"/>
      <c r="AS875" s="109"/>
      <c r="AT875" s="110"/>
      <c r="AU875" s="109"/>
      <c r="AV875" s="111"/>
      <c r="AW875" s="109"/>
      <c r="AX875" s="109"/>
      <c r="AY875" s="110"/>
      <c r="AZ875" s="109"/>
      <c r="BA875" s="111"/>
      <c r="BB875" s="109"/>
      <c r="BC875" s="109"/>
      <c r="BD875" s="110"/>
      <c r="BE875" s="109"/>
      <c r="BF875" s="111"/>
      <c r="BG875" s="109"/>
      <c r="BH875" s="109"/>
      <c r="BI875" s="110"/>
      <c r="BJ875" s="109"/>
      <c r="BK875" s="111"/>
      <c r="BL875" s="109"/>
      <c r="BM875" s="109"/>
      <c r="BN875" s="110"/>
      <c r="BO875" s="109"/>
      <c r="BP875" s="111"/>
      <c r="BQ875" s="109"/>
      <c r="BR875" s="109"/>
      <c r="BS875" s="110"/>
      <c r="BT875" s="109"/>
      <c r="BU875" s="111"/>
      <c r="BV875" s="109"/>
      <c r="BW875" s="109"/>
      <c r="BX875" s="110"/>
      <c r="BY875" s="109"/>
      <c r="BZ875" s="111"/>
      <c r="CA875" s="109"/>
      <c r="CB875" s="109"/>
      <c r="CC875" s="110"/>
      <c r="CD875" s="109"/>
      <c r="CE875" s="111"/>
      <c r="CF875" s="109"/>
      <c r="CG875" s="109"/>
      <c r="CH875" s="110"/>
      <c r="CI875" s="109"/>
      <c r="CJ875" s="111"/>
      <c r="CK875" s="109"/>
      <c r="CL875" s="109"/>
      <c r="CM875" s="110"/>
      <c r="CN875" s="109"/>
      <c r="CO875" s="111"/>
      <c r="CP875" s="109"/>
      <c r="CQ875" s="109"/>
      <c r="CR875" s="110"/>
      <c r="CS875" s="109"/>
      <c r="CT875" s="111"/>
      <c r="CU875" s="109"/>
      <c r="CV875" s="109"/>
      <c r="CW875" s="110"/>
      <c r="CX875" s="109"/>
      <c r="CY875" s="111"/>
      <c r="CZ875" s="109"/>
      <c r="DA875" s="109"/>
      <c r="DB875" s="110"/>
      <c r="DC875" s="109"/>
      <c r="DD875" s="111"/>
      <c r="DE875" s="109"/>
      <c r="DF875" s="109"/>
      <c r="DG875" s="110"/>
      <c r="DH875" s="109"/>
      <c r="DI875" s="111"/>
      <c r="DJ875" s="109"/>
      <c r="DK875" s="109"/>
      <c r="DL875" s="110"/>
      <c r="DM875" s="109"/>
      <c r="DN875" s="111"/>
      <c r="DO875" s="109"/>
      <c r="DP875" s="109"/>
      <c r="DQ875" s="110"/>
      <c r="DR875" s="109"/>
      <c r="DS875" s="111"/>
      <c r="DT875" s="109"/>
      <c r="DU875" s="109"/>
      <c r="DV875" s="110"/>
      <c r="DW875" s="109"/>
      <c r="DX875" s="111"/>
      <c r="DY875" s="109"/>
      <c r="DZ875" s="109"/>
      <c r="EA875" s="110"/>
      <c r="EB875" s="109"/>
      <c r="EC875" s="111"/>
      <c r="ED875" s="109"/>
      <c r="EE875" s="109"/>
      <c r="EF875" s="110"/>
      <c r="EG875" s="109"/>
      <c r="EH875" s="111"/>
      <c r="EI875" s="109"/>
      <c r="EJ875" s="109"/>
      <c r="EK875" s="110"/>
      <c r="EL875" s="109"/>
      <c r="EM875" s="111"/>
      <c r="EN875" s="109"/>
      <c r="EO875" s="109"/>
      <c r="EP875" s="110"/>
      <c r="EQ875" s="109"/>
      <c r="ER875" s="111"/>
      <c r="ES875" s="109"/>
      <c r="ET875" s="109"/>
      <c r="EU875" s="110"/>
      <c r="EV875" s="109"/>
      <c r="EW875" s="111"/>
      <c r="EX875" s="109"/>
      <c r="EY875" s="109"/>
      <c r="EZ875" s="110"/>
      <c r="FA875" s="109"/>
      <c r="FB875" s="111"/>
      <c r="FC875" s="109"/>
      <c r="FD875" s="109"/>
      <c r="FE875" s="110"/>
      <c r="FF875" s="109"/>
      <c r="FG875" s="111"/>
      <c r="FH875" s="109"/>
      <c r="FI875" s="109"/>
      <c r="FJ875" s="110"/>
      <c r="FK875" s="109"/>
      <c r="FL875" s="111"/>
      <c r="FM875" s="109"/>
      <c r="FN875" s="109"/>
      <c r="FO875" s="110"/>
      <c r="FP875" s="109"/>
      <c r="FQ875" s="111"/>
      <c r="FR875" s="109"/>
      <c r="FS875" s="109"/>
      <c r="FT875" s="110"/>
      <c r="FU875" s="109"/>
      <c r="FV875" s="111"/>
      <c r="FW875" s="109"/>
      <c r="FX875" s="109"/>
      <c r="FY875" s="110"/>
      <c r="FZ875" s="109"/>
      <c r="GA875" s="111"/>
      <c r="GB875" s="109"/>
      <c r="GC875" s="109"/>
      <c r="GD875" s="110"/>
      <c r="GE875" s="109"/>
      <c r="GF875" s="111"/>
      <c r="GG875" s="109"/>
      <c r="GH875" s="109"/>
      <c r="GI875" s="110"/>
      <c r="GJ875" s="109"/>
      <c r="GK875" s="111"/>
      <c r="GL875" s="109"/>
      <c r="GM875" s="109"/>
      <c r="GN875" s="110"/>
      <c r="GO875" s="109"/>
      <c r="GP875" s="111"/>
      <c r="GQ875" s="109"/>
      <c r="GR875" s="109"/>
      <c r="GS875" s="110"/>
      <c r="GT875" s="109"/>
      <c r="GU875" s="111"/>
      <c r="GV875" s="109"/>
      <c r="GW875" s="109"/>
      <c r="GX875" s="110"/>
      <c r="GY875" s="109"/>
      <c r="GZ875" s="111"/>
      <c r="HA875" s="109"/>
      <c r="HB875" s="109"/>
      <c r="HC875" s="110"/>
      <c r="HD875" s="109"/>
      <c r="HE875" s="111"/>
      <c r="HF875" s="109"/>
      <c r="HG875" s="109"/>
      <c r="HH875" s="110"/>
      <c r="HI875" s="109"/>
      <c r="HJ875" s="111"/>
      <c r="HK875" s="109"/>
      <c r="HL875" s="109"/>
      <c r="HM875" s="110"/>
      <c r="HN875" s="109"/>
      <c r="HO875" s="111"/>
      <c r="HP875" s="109"/>
      <c r="HQ875" s="109"/>
      <c r="HR875" s="110"/>
      <c r="HS875" s="109"/>
      <c r="HT875" s="111"/>
      <c r="HU875" s="109"/>
      <c r="HV875" s="109"/>
      <c r="HW875" s="110"/>
      <c r="HX875" s="109"/>
      <c r="HY875" s="111"/>
      <c r="HZ875" s="109"/>
      <c r="IA875" s="109"/>
      <c r="IB875" s="110"/>
      <c r="IC875" s="109"/>
      <c r="ID875" s="111"/>
      <c r="IE875" s="109"/>
      <c r="IF875" s="109"/>
      <c r="IG875" s="110"/>
      <c r="IH875" s="109"/>
      <c r="II875" s="111"/>
      <c r="IJ875" s="109"/>
      <c r="IK875" s="109"/>
      <c r="IL875" s="110"/>
      <c r="IM875" s="109"/>
      <c r="IN875" s="111"/>
      <c r="IO875" s="109"/>
      <c r="IP875" s="109"/>
      <c r="IQ875" s="110"/>
      <c r="IR875" s="109"/>
      <c r="IS875" s="111"/>
      <c r="IT875" s="109"/>
      <c r="IU875" s="109"/>
      <c r="IV875" s="110"/>
    </row>
    <row r="876" spans="1:256" s="123" customFormat="1" ht="14.25">
      <c r="A876" s="134">
        <v>37126</v>
      </c>
      <c r="B876" s="111">
        <v>56.0486</v>
      </c>
      <c r="C876" s="111">
        <f t="shared" si="14"/>
        <v>0.056048600000000004</v>
      </c>
      <c r="D876" s="111">
        <v>33.9854</v>
      </c>
      <c r="E876" s="111">
        <v>36.8765</v>
      </c>
      <c r="F876" s="131"/>
      <c r="G876" s="109"/>
      <c r="H876" s="111"/>
      <c r="I876" s="109"/>
      <c r="J876" s="109"/>
      <c r="K876" s="110"/>
      <c r="L876" s="109"/>
      <c r="M876" s="111"/>
      <c r="N876" s="109"/>
      <c r="O876" s="109"/>
      <c r="P876" s="110"/>
      <c r="Q876" s="109"/>
      <c r="R876" s="111"/>
      <c r="S876" s="109"/>
      <c r="T876" s="109"/>
      <c r="U876" s="110"/>
      <c r="V876" s="109"/>
      <c r="W876" s="111"/>
      <c r="X876" s="109"/>
      <c r="Y876" s="109"/>
      <c r="Z876" s="110"/>
      <c r="AA876" s="109"/>
      <c r="AB876" s="111"/>
      <c r="AC876" s="109"/>
      <c r="AD876" s="109"/>
      <c r="AE876" s="110"/>
      <c r="AF876" s="109"/>
      <c r="AG876" s="111"/>
      <c r="AH876" s="109"/>
      <c r="AI876" s="109"/>
      <c r="AJ876" s="110"/>
      <c r="AK876" s="109"/>
      <c r="AL876" s="111"/>
      <c r="AM876" s="109"/>
      <c r="AN876" s="109"/>
      <c r="AO876" s="110"/>
      <c r="AP876" s="109"/>
      <c r="AQ876" s="111"/>
      <c r="AR876" s="109"/>
      <c r="AS876" s="109"/>
      <c r="AT876" s="110"/>
      <c r="AU876" s="109"/>
      <c r="AV876" s="111"/>
      <c r="AW876" s="109"/>
      <c r="AX876" s="109"/>
      <c r="AY876" s="110"/>
      <c r="AZ876" s="109"/>
      <c r="BA876" s="111"/>
      <c r="BB876" s="109"/>
      <c r="BC876" s="109"/>
      <c r="BD876" s="110"/>
      <c r="BE876" s="109"/>
      <c r="BF876" s="111"/>
      <c r="BG876" s="109"/>
      <c r="BH876" s="109"/>
      <c r="BI876" s="110"/>
      <c r="BJ876" s="109"/>
      <c r="BK876" s="111"/>
      <c r="BL876" s="109"/>
      <c r="BM876" s="109"/>
      <c r="BN876" s="110"/>
      <c r="BO876" s="109"/>
      <c r="BP876" s="111"/>
      <c r="BQ876" s="109"/>
      <c r="BR876" s="109"/>
      <c r="BS876" s="110"/>
      <c r="BT876" s="109"/>
      <c r="BU876" s="111"/>
      <c r="BV876" s="109"/>
      <c r="BW876" s="109"/>
      <c r="BX876" s="110"/>
      <c r="BY876" s="109"/>
      <c r="BZ876" s="111"/>
      <c r="CA876" s="109"/>
      <c r="CB876" s="109"/>
      <c r="CC876" s="110"/>
      <c r="CD876" s="109"/>
      <c r="CE876" s="111"/>
      <c r="CF876" s="109"/>
      <c r="CG876" s="109"/>
      <c r="CH876" s="110"/>
      <c r="CI876" s="109"/>
      <c r="CJ876" s="111"/>
      <c r="CK876" s="109"/>
      <c r="CL876" s="109"/>
      <c r="CM876" s="110"/>
      <c r="CN876" s="109"/>
      <c r="CO876" s="111"/>
      <c r="CP876" s="109"/>
      <c r="CQ876" s="109"/>
      <c r="CR876" s="110"/>
      <c r="CS876" s="109"/>
      <c r="CT876" s="111"/>
      <c r="CU876" s="109"/>
      <c r="CV876" s="109"/>
      <c r="CW876" s="110"/>
      <c r="CX876" s="109"/>
      <c r="CY876" s="111"/>
      <c r="CZ876" s="109"/>
      <c r="DA876" s="109"/>
      <c r="DB876" s="110"/>
      <c r="DC876" s="109"/>
      <c r="DD876" s="111"/>
      <c r="DE876" s="109"/>
      <c r="DF876" s="109"/>
      <c r="DG876" s="110"/>
      <c r="DH876" s="109"/>
      <c r="DI876" s="111"/>
      <c r="DJ876" s="109"/>
      <c r="DK876" s="109"/>
      <c r="DL876" s="110"/>
      <c r="DM876" s="109"/>
      <c r="DN876" s="111"/>
      <c r="DO876" s="109"/>
      <c r="DP876" s="109"/>
      <c r="DQ876" s="110"/>
      <c r="DR876" s="109"/>
      <c r="DS876" s="111"/>
      <c r="DT876" s="109"/>
      <c r="DU876" s="109"/>
      <c r="DV876" s="110"/>
      <c r="DW876" s="109"/>
      <c r="DX876" s="111"/>
      <c r="DY876" s="109"/>
      <c r="DZ876" s="109"/>
      <c r="EA876" s="110"/>
      <c r="EB876" s="109"/>
      <c r="EC876" s="111"/>
      <c r="ED876" s="109"/>
      <c r="EE876" s="109"/>
      <c r="EF876" s="110"/>
      <c r="EG876" s="109"/>
      <c r="EH876" s="111"/>
      <c r="EI876" s="109"/>
      <c r="EJ876" s="109"/>
      <c r="EK876" s="110"/>
      <c r="EL876" s="109"/>
      <c r="EM876" s="111"/>
      <c r="EN876" s="109"/>
      <c r="EO876" s="109"/>
      <c r="EP876" s="110"/>
      <c r="EQ876" s="109"/>
      <c r="ER876" s="111"/>
      <c r="ES876" s="109"/>
      <c r="ET876" s="109"/>
      <c r="EU876" s="110"/>
      <c r="EV876" s="109"/>
      <c r="EW876" s="111"/>
      <c r="EX876" s="109"/>
      <c r="EY876" s="109"/>
      <c r="EZ876" s="110"/>
      <c r="FA876" s="109"/>
      <c r="FB876" s="111"/>
      <c r="FC876" s="109"/>
      <c r="FD876" s="109"/>
      <c r="FE876" s="110"/>
      <c r="FF876" s="109"/>
      <c r="FG876" s="111"/>
      <c r="FH876" s="109"/>
      <c r="FI876" s="109"/>
      <c r="FJ876" s="110"/>
      <c r="FK876" s="109"/>
      <c r="FL876" s="111"/>
      <c r="FM876" s="109"/>
      <c r="FN876" s="109"/>
      <c r="FO876" s="110"/>
      <c r="FP876" s="109"/>
      <c r="FQ876" s="111"/>
      <c r="FR876" s="109"/>
      <c r="FS876" s="109"/>
      <c r="FT876" s="110"/>
      <c r="FU876" s="109"/>
      <c r="FV876" s="111"/>
      <c r="FW876" s="109"/>
      <c r="FX876" s="109"/>
      <c r="FY876" s="110"/>
      <c r="FZ876" s="109"/>
      <c r="GA876" s="111"/>
      <c r="GB876" s="109"/>
      <c r="GC876" s="109"/>
      <c r="GD876" s="110"/>
      <c r="GE876" s="109"/>
      <c r="GF876" s="111"/>
      <c r="GG876" s="109"/>
      <c r="GH876" s="109"/>
      <c r="GI876" s="110"/>
      <c r="GJ876" s="109"/>
      <c r="GK876" s="111"/>
      <c r="GL876" s="109"/>
      <c r="GM876" s="109"/>
      <c r="GN876" s="110"/>
      <c r="GO876" s="109"/>
      <c r="GP876" s="111"/>
      <c r="GQ876" s="109"/>
      <c r="GR876" s="109"/>
      <c r="GS876" s="110"/>
      <c r="GT876" s="109"/>
      <c r="GU876" s="111"/>
      <c r="GV876" s="109"/>
      <c r="GW876" s="109"/>
      <c r="GX876" s="110"/>
      <c r="GY876" s="109"/>
      <c r="GZ876" s="111"/>
      <c r="HA876" s="109"/>
      <c r="HB876" s="109"/>
      <c r="HC876" s="110"/>
      <c r="HD876" s="109"/>
      <c r="HE876" s="111"/>
      <c r="HF876" s="109"/>
      <c r="HG876" s="109"/>
      <c r="HH876" s="110"/>
      <c r="HI876" s="109"/>
      <c r="HJ876" s="111"/>
      <c r="HK876" s="109"/>
      <c r="HL876" s="109"/>
      <c r="HM876" s="110"/>
      <c r="HN876" s="109"/>
      <c r="HO876" s="111"/>
      <c r="HP876" s="109"/>
      <c r="HQ876" s="109"/>
      <c r="HR876" s="110"/>
      <c r="HS876" s="109"/>
      <c r="HT876" s="111"/>
      <c r="HU876" s="109"/>
      <c r="HV876" s="109"/>
      <c r="HW876" s="110"/>
      <c r="HX876" s="109"/>
      <c r="HY876" s="111"/>
      <c r="HZ876" s="109"/>
      <c r="IA876" s="109"/>
      <c r="IB876" s="110"/>
      <c r="IC876" s="109"/>
      <c r="ID876" s="111"/>
      <c r="IE876" s="109"/>
      <c r="IF876" s="109"/>
      <c r="IG876" s="110"/>
      <c r="IH876" s="109"/>
      <c r="II876" s="111"/>
      <c r="IJ876" s="109"/>
      <c r="IK876" s="109"/>
      <c r="IL876" s="110"/>
      <c r="IM876" s="109"/>
      <c r="IN876" s="111"/>
      <c r="IO876" s="109"/>
      <c r="IP876" s="109"/>
      <c r="IQ876" s="110"/>
      <c r="IR876" s="109"/>
      <c r="IS876" s="111"/>
      <c r="IT876" s="109"/>
      <c r="IU876" s="109"/>
      <c r="IV876" s="110"/>
    </row>
    <row r="877" spans="1:256" s="123" customFormat="1" ht="14.25">
      <c r="A877" s="134">
        <v>37127</v>
      </c>
      <c r="B877" s="111">
        <v>55.4754</v>
      </c>
      <c r="C877" s="111">
        <f t="shared" si="14"/>
        <v>0.0554754</v>
      </c>
      <c r="D877" s="111">
        <v>33.2692</v>
      </c>
      <c r="E877" s="111">
        <v>36.5114</v>
      </c>
      <c r="F877" s="131"/>
      <c r="G877" s="109"/>
      <c r="H877" s="111"/>
      <c r="I877" s="109"/>
      <c r="J877" s="109"/>
      <c r="K877" s="110"/>
      <c r="L877" s="109"/>
      <c r="M877" s="111"/>
      <c r="N877" s="109"/>
      <c r="O877" s="109"/>
      <c r="P877" s="110"/>
      <c r="Q877" s="109"/>
      <c r="R877" s="111"/>
      <c r="S877" s="109"/>
      <c r="T877" s="109"/>
      <c r="U877" s="110"/>
      <c r="V877" s="109"/>
      <c r="W877" s="111"/>
      <c r="X877" s="109"/>
      <c r="Y877" s="109"/>
      <c r="Z877" s="110"/>
      <c r="AA877" s="109"/>
      <c r="AB877" s="111"/>
      <c r="AC877" s="109"/>
      <c r="AD877" s="109"/>
      <c r="AE877" s="110"/>
      <c r="AF877" s="109"/>
      <c r="AG877" s="111"/>
      <c r="AH877" s="109"/>
      <c r="AI877" s="109"/>
      <c r="AJ877" s="110"/>
      <c r="AK877" s="109"/>
      <c r="AL877" s="111"/>
      <c r="AM877" s="109"/>
      <c r="AN877" s="109"/>
      <c r="AO877" s="110"/>
      <c r="AP877" s="109"/>
      <c r="AQ877" s="111"/>
      <c r="AR877" s="109"/>
      <c r="AS877" s="109"/>
      <c r="AT877" s="110"/>
      <c r="AU877" s="109"/>
      <c r="AV877" s="111"/>
      <c r="AW877" s="109"/>
      <c r="AX877" s="109"/>
      <c r="AY877" s="110"/>
      <c r="AZ877" s="109"/>
      <c r="BA877" s="111"/>
      <c r="BB877" s="109"/>
      <c r="BC877" s="109"/>
      <c r="BD877" s="110"/>
      <c r="BE877" s="109"/>
      <c r="BF877" s="111"/>
      <c r="BG877" s="109"/>
      <c r="BH877" s="109"/>
      <c r="BI877" s="110"/>
      <c r="BJ877" s="109"/>
      <c r="BK877" s="111"/>
      <c r="BL877" s="109"/>
      <c r="BM877" s="109"/>
      <c r="BN877" s="110"/>
      <c r="BO877" s="109"/>
      <c r="BP877" s="111"/>
      <c r="BQ877" s="109"/>
      <c r="BR877" s="109"/>
      <c r="BS877" s="110"/>
      <c r="BT877" s="109"/>
      <c r="BU877" s="111"/>
      <c r="BV877" s="109"/>
      <c r="BW877" s="109"/>
      <c r="BX877" s="110"/>
      <c r="BY877" s="109"/>
      <c r="BZ877" s="111"/>
      <c r="CA877" s="109"/>
      <c r="CB877" s="109"/>
      <c r="CC877" s="110"/>
      <c r="CD877" s="109"/>
      <c r="CE877" s="111"/>
      <c r="CF877" s="109"/>
      <c r="CG877" s="109"/>
      <c r="CH877" s="110"/>
      <c r="CI877" s="109"/>
      <c r="CJ877" s="111"/>
      <c r="CK877" s="109"/>
      <c r="CL877" s="109"/>
      <c r="CM877" s="110"/>
      <c r="CN877" s="109"/>
      <c r="CO877" s="111"/>
      <c r="CP877" s="109"/>
      <c r="CQ877" s="109"/>
      <c r="CR877" s="110"/>
      <c r="CS877" s="109"/>
      <c r="CT877" s="111"/>
      <c r="CU877" s="109"/>
      <c r="CV877" s="109"/>
      <c r="CW877" s="110"/>
      <c r="CX877" s="109"/>
      <c r="CY877" s="111"/>
      <c r="CZ877" s="109"/>
      <c r="DA877" s="109"/>
      <c r="DB877" s="110"/>
      <c r="DC877" s="109"/>
      <c r="DD877" s="111"/>
      <c r="DE877" s="109"/>
      <c r="DF877" s="109"/>
      <c r="DG877" s="110"/>
      <c r="DH877" s="109"/>
      <c r="DI877" s="111"/>
      <c r="DJ877" s="109"/>
      <c r="DK877" s="109"/>
      <c r="DL877" s="110"/>
      <c r="DM877" s="109"/>
      <c r="DN877" s="111"/>
      <c r="DO877" s="109"/>
      <c r="DP877" s="109"/>
      <c r="DQ877" s="110"/>
      <c r="DR877" s="109"/>
      <c r="DS877" s="111"/>
      <c r="DT877" s="109"/>
      <c r="DU877" s="109"/>
      <c r="DV877" s="110"/>
      <c r="DW877" s="109"/>
      <c r="DX877" s="111"/>
      <c r="DY877" s="109"/>
      <c r="DZ877" s="109"/>
      <c r="EA877" s="110"/>
      <c r="EB877" s="109"/>
      <c r="EC877" s="111"/>
      <c r="ED877" s="109"/>
      <c r="EE877" s="109"/>
      <c r="EF877" s="110"/>
      <c r="EG877" s="109"/>
      <c r="EH877" s="111"/>
      <c r="EI877" s="109"/>
      <c r="EJ877" s="109"/>
      <c r="EK877" s="110"/>
      <c r="EL877" s="109"/>
      <c r="EM877" s="111"/>
      <c r="EN877" s="109"/>
      <c r="EO877" s="109"/>
      <c r="EP877" s="110"/>
      <c r="EQ877" s="109"/>
      <c r="ER877" s="111"/>
      <c r="ES877" s="109"/>
      <c r="ET877" s="109"/>
      <c r="EU877" s="110"/>
      <c r="EV877" s="109"/>
      <c r="EW877" s="111"/>
      <c r="EX877" s="109"/>
      <c r="EY877" s="109"/>
      <c r="EZ877" s="110"/>
      <c r="FA877" s="109"/>
      <c r="FB877" s="111"/>
      <c r="FC877" s="109"/>
      <c r="FD877" s="109"/>
      <c r="FE877" s="110"/>
      <c r="FF877" s="109"/>
      <c r="FG877" s="111"/>
      <c r="FH877" s="109"/>
      <c r="FI877" s="109"/>
      <c r="FJ877" s="110"/>
      <c r="FK877" s="109"/>
      <c r="FL877" s="111"/>
      <c r="FM877" s="109"/>
      <c r="FN877" s="109"/>
      <c r="FO877" s="110"/>
      <c r="FP877" s="109"/>
      <c r="FQ877" s="111"/>
      <c r="FR877" s="109"/>
      <c r="FS877" s="109"/>
      <c r="FT877" s="110"/>
      <c r="FU877" s="109"/>
      <c r="FV877" s="111"/>
      <c r="FW877" s="109"/>
      <c r="FX877" s="109"/>
      <c r="FY877" s="110"/>
      <c r="FZ877" s="109"/>
      <c r="GA877" s="111"/>
      <c r="GB877" s="109"/>
      <c r="GC877" s="109"/>
      <c r="GD877" s="110"/>
      <c r="GE877" s="109"/>
      <c r="GF877" s="111"/>
      <c r="GG877" s="109"/>
      <c r="GH877" s="109"/>
      <c r="GI877" s="110"/>
      <c r="GJ877" s="109"/>
      <c r="GK877" s="111"/>
      <c r="GL877" s="109"/>
      <c r="GM877" s="109"/>
      <c r="GN877" s="110"/>
      <c r="GO877" s="109"/>
      <c r="GP877" s="111"/>
      <c r="GQ877" s="109"/>
      <c r="GR877" s="109"/>
      <c r="GS877" s="110"/>
      <c r="GT877" s="109"/>
      <c r="GU877" s="111"/>
      <c r="GV877" s="109"/>
      <c r="GW877" s="109"/>
      <c r="GX877" s="110"/>
      <c r="GY877" s="109"/>
      <c r="GZ877" s="111"/>
      <c r="HA877" s="109"/>
      <c r="HB877" s="109"/>
      <c r="HC877" s="110"/>
      <c r="HD877" s="109"/>
      <c r="HE877" s="111"/>
      <c r="HF877" s="109"/>
      <c r="HG877" s="109"/>
      <c r="HH877" s="110"/>
      <c r="HI877" s="109"/>
      <c r="HJ877" s="111"/>
      <c r="HK877" s="109"/>
      <c r="HL877" s="109"/>
      <c r="HM877" s="110"/>
      <c r="HN877" s="109"/>
      <c r="HO877" s="111"/>
      <c r="HP877" s="109"/>
      <c r="HQ877" s="109"/>
      <c r="HR877" s="110"/>
      <c r="HS877" s="109"/>
      <c r="HT877" s="111"/>
      <c r="HU877" s="109"/>
      <c r="HV877" s="109"/>
      <c r="HW877" s="110"/>
      <c r="HX877" s="109"/>
      <c r="HY877" s="111"/>
      <c r="HZ877" s="109"/>
      <c r="IA877" s="109"/>
      <c r="IB877" s="110"/>
      <c r="IC877" s="109"/>
      <c r="ID877" s="111"/>
      <c r="IE877" s="109"/>
      <c r="IF877" s="109"/>
      <c r="IG877" s="110"/>
      <c r="IH877" s="109"/>
      <c r="II877" s="111"/>
      <c r="IJ877" s="109"/>
      <c r="IK877" s="109"/>
      <c r="IL877" s="110"/>
      <c r="IM877" s="109"/>
      <c r="IN877" s="111"/>
      <c r="IO877" s="109"/>
      <c r="IP877" s="109"/>
      <c r="IQ877" s="110"/>
      <c r="IR877" s="109"/>
      <c r="IS877" s="111"/>
      <c r="IT877" s="109"/>
      <c r="IU877" s="109"/>
      <c r="IV877" s="110"/>
    </row>
    <row r="878" spans="1:256" s="123" customFormat="1" ht="14.25">
      <c r="A878" s="134">
        <v>37130</v>
      </c>
      <c r="B878" s="111">
        <v>55.7106</v>
      </c>
      <c r="C878" s="111">
        <f t="shared" si="14"/>
        <v>0.0557106</v>
      </c>
      <c r="D878" s="111">
        <v>33.3978</v>
      </c>
      <c r="E878" s="111">
        <v>36.6686</v>
      </c>
      <c r="F878" s="131"/>
      <c r="G878" s="109"/>
      <c r="H878" s="111"/>
      <c r="I878" s="109"/>
      <c r="J878" s="109"/>
      <c r="K878" s="110"/>
      <c r="L878" s="109"/>
      <c r="M878" s="111"/>
      <c r="N878" s="109"/>
      <c r="O878" s="109"/>
      <c r="P878" s="110"/>
      <c r="Q878" s="109"/>
      <c r="R878" s="111"/>
      <c r="S878" s="109"/>
      <c r="T878" s="109"/>
      <c r="U878" s="110"/>
      <c r="V878" s="109"/>
      <c r="W878" s="111"/>
      <c r="X878" s="109"/>
      <c r="Y878" s="109"/>
      <c r="Z878" s="110"/>
      <c r="AA878" s="109"/>
      <c r="AB878" s="111"/>
      <c r="AC878" s="109"/>
      <c r="AD878" s="109"/>
      <c r="AE878" s="110"/>
      <c r="AF878" s="109"/>
      <c r="AG878" s="111"/>
      <c r="AH878" s="109"/>
      <c r="AI878" s="109"/>
      <c r="AJ878" s="110"/>
      <c r="AK878" s="109"/>
      <c r="AL878" s="111"/>
      <c r="AM878" s="109"/>
      <c r="AN878" s="109"/>
      <c r="AO878" s="110"/>
      <c r="AP878" s="109"/>
      <c r="AQ878" s="111"/>
      <c r="AR878" s="109"/>
      <c r="AS878" s="109"/>
      <c r="AT878" s="110"/>
      <c r="AU878" s="109"/>
      <c r="AV878" s="111"/>
      <c r="AW878" s="109"/>
      <c r="AX878" s="109"/>
      <c r="AY878" s="110"/>
      <c r="AZ878" s="109"/>
      <c r="BA878" s="111"/>
      <c r="BB878" s="109"/>
      <c r="BC878" s="109"/>
      <c r="BD878" s="110"/>
      <c r="BE878" s="109"/>
      <c r="BF878" s="111"/>
      <c r="BG878" s="109"/>
      <c r="BH878" s="109"/>
      <c r="BI878" s="110"/>
      <c r="BJ878" s="109"/>
      <c r="BK878" s="111"/>
      <c r="BL878" s="109"/>
      <c r="BM878" s="109"/>
      <c r="BN878" s="110"/>
      <c r="BO878" s="109"/>
      <c r="BP878" s="111"/>
      <c r="BQ878" s="109"/>
      <c r="BR878" s="109"/>
      <c r="BS878" s="110"/>
      <c r="BT878" s="109"/>
      <c r="BU878" s="111"/>
      <c r="BV878" s="109"/>
      <c r="BW878" s="109"/>
      <c r="BX878" s="110"/>
      <c r="BY878" s="109"/>
      <c r="BZ878" s="111"/>
      <c r="CA878" s="109"/>
      <c r="CB878" s="109"/>
      <c r="CC878" s="110"/>
      <c r="CD878" s="109"/>
      <c r="CE878" s="111"/>
      <c r="CF878" s="109"/>
      <c r="CG878" s="109"/>
      <c r="CH878" s="110"/>
      <c r="CI878" s="109"/>
      <c r="CJ878" s="111"/>
      <c r="CK878" s="109"/>
      <c r="CL878" s="109"/>
      <c r="CM878" s="110"/>
      <c r="CN878" s="109"/>
      <c r="CO878" s="111"/>
      <c r="CP878" s="109"/>
      <c r="CQ878" s="109"/>
      <c r="CR878" s="110"/>
      <c r="CS878" s="109"/>
      <c r="CT878" s="111"/>
      <c r="CU878" s="109"/>
      <c r="CV878" s="109"/>
      <c r="CW878" s="110"/>
      <c r="CX878" s="109"/>
      <c r="CY878" s="111"/>
      <c r="CZ878" s="109"/>
      <c r="DA878" s="109"/>
      <c r="DB878" s="110"/>
      <c r="DC878" s="109"/>
      <c r="DD878" s="111"/>
      <c r="DE878" s="109"/>
      <c r="DF878" s="109"/>
      <c r="DG878" s="110"/>
      <c r="DH878" s="109"/>
      <c r="DI878" s="111"/>
      <c r="DJ878" s="109"/>
      <c r="DK878" s="109"/>
      <c r="DL878" s="110"/>
      <c r="DM878" s="109"/>
      <c r="DN878" s="111"/>
      <c r="DO878" s="109"/>
      <c r="DP878" s="109"/>
      <c r="DQ878" s="110"/>
      <c r="DR878" s="109"/>
      <c r="DS878" s="111"/>
      <c r="DT878" s="109"/>
      <c r="DU878" s="109"/>
      <c r="DV878" s="110"/>
      <c r="DW878" s="109"/>
      <c r="DX878" s="111"/>
      <c r="DY878" s="109"/>
      <c r="DZ878" s="109"/>
      <c r="EA878" s="110"/>
      <c r="EB878" s="109"/>
      <c r="EC878" s="111"/>
      <c r="ED878" s="109"/>
      <c r="EE878" s="109"/>
      <c r="EF878" s="110"/>
      <c r="EG878" s="109"/>
      <c r="EH878" s="111"/>
      <c r="EI878" s="109"/>
      <c r="EJ878" s="109"/>
      <c r="EK878" s="110"/>
      <c r="EL878" s="109"/>
      <c r="EM878" s="111"/>
      <c r="EN878" s="109"/>
      <c r="EO878" s="109"/>
      <c r="EP878" s="110"/>
      <c r="EQ878" s="109"/>
      <c r="ER878" s="111"/>
      <c r="ES878" s="109"/>
      <c r="ET878" s="109"/>
      <c r="EU878" s="110"/>
      <c r="EV878" s="109"/>
      <c r="EW878" s="111"/>
      <c r="EX878" s="109"/>
      <c r="EY878" s="109"/>
      <c r="EZ878" s="110"/>
      <c r="FA878" s="109"/>
      <c r="FB878" s="111"/>
      <c r="FC878" s="109"/>
      <c r="FD878" s="109"/>
      <c r="FE878" s="110"/>
      <c r="FF878" s="109"/>
      <c r="FG878" s="111"/>
      <c r="FH878" s="109"/>
      <c r="FI878" s="109"/>
      <c r="FJ878" s="110"/>
      <c r="FK878" s="109"/>
      <c r="FL878" s="111"/>
      <c r="FM878" s="109"/>
      <c r="FN878" s="109"/>
      <c r="FO878" s="110"/>
      <c r="FP878" s="109"/>
      <c r="FQ878" s="111"/>
      <c r="FR878" s="109"/>
      <c r="FS878" s="109"/>
      <c r="FT878" s="110"/>
      <c r="FU878" s="109"/>
      <c r="FV878" s="111"/>
      <c r="FW878" s="109"/>
      <c r="FX878" s="109"/>
      <c r="FY878" s="110"/>
      <c r="FZ878" s="109"/>
      <c r="GA878" s="111"/>
      <c r="GB878" s="109"/>
      <c r="GC878" s="109"/>
      <c r="GD878" s="110"/>
      <c r="GE878" s="109"/>
      <c r="GF878" s="111"/>
      <c r="GG878" s="109"/>
      <c r="GH878" s="109"/>
      <c r="GI878" s="110"/>
      <c r="GJ878" s="109"/>
      <c r="GK878" s="111"/>
      <c r="GL878" s="109"/>
      <c r="GM878" s="109"/>
      <c r="GN878" s="110"/>
      <c r="GO878" s="109"/>
      <c r="GP878" s="111"/>
      <c r="GQ878" s="109"/>
      <c r="GR878" s="109"/>
      <c r="GS878" s="110"/>
      <c r="GT878" s="109"/>
      <c r="GU878" s="111"/>
      <c r="GV878" s="109"/>
      <c r="GW878" s="109"/>
      <c r="GX878" s="110"/>
      <c r="GY878" s="109"/>
      <c r="GZ878" s="111"/>
      <c r="HA878" s="109"/>
      <c r="HB878" s="109"/>
      <c r="HC878" s="110"/>
      <c r="HD878" s="109"/>
      <c r="HE878" s="111"/>
      <c r="HF878" s="109"/>
      <c r="HG878" s="109"/>
      <c r="HH878" s="110"/>
      <c r="HI878" s="109"/>
      <c r="HJ878" s="111"/>
      <c r="HK878" s="109"/>
      <c r="HL878" s="109"/>
      <c r="HM878" s="110"/>
      <c r="HN878" s="109"/>
      <c r="HO878" s="111"/>
      <c r="HP878" s="109"/>
      <c r="HQ878" s="109"/>
      <c r="HR878" s="110"/>
      <c r="HS878" s="109"/>
      <c r="HT878" s="111"/>
      <c r="HU878" s="109"/>
      <c r="HV878" s="109"/>
      <c r="HW878" s="110"/>
      <c r="HX878" s="109"/>
      <c r="HY878" s="111"/>
      <c r="HZ878" s="109"/>
      <c r="IA878" s="109"/>
      <c r="IB878" s="110"/>
      <c r="IC878" s="109"/>
      <c r="ID878" s="111"/>
      <c r="IE878" s="109"/>
      <c r="IF878" s="109"/>
      <c r="IG878" s="110"/>
      <c r="IH878" s="109"/>
      <c r="II878" s="111"/>
      <c r="IJ878" s="109"/>
      <c r="IK878" s="109"/>
      <c r="IL878" s="110"/>
      <c r="IM878" s="109"/>
      <c r="IN878" s="111"/>
      <c r="IO878" s="109"/>
      <c r="IP878" s="109"/>
      <c r="IQ878" s="110"/>
      <c r="IR878" s="109"/>
      <c r="IS878" s="111"/>
      <c r="IT878" s="109"/>
      <c r="IU878" s="109"/>
      <c r="IV878" s="110"/>
    </row>
    <row r="879" spans="1:256" s="123" customFormat="1" ht="14.25">
      <c r="A879" s="134">
        <v>37131</v>
      </c>
      <c r="B879" s="111">
        <v>56.5248</v>
      </c>
      <c r="C879" s="111">
        <f t="shared" si="14"/>
        <v>0.0565248</v>
      </c>
      <c r="D879" s="111">
        <v>33.8167</v>
      </c>
      <c r="E879" s="111">
        <v>37.2021</v>
      </c>
      <c r="F879" s="131"/>
      <c r="G879" s="109"/>
      <c r="H879" s="111"/>
      <c r="I879" s="109"/>
      <c r="J879" s="109"/>
      <c r="K879" s="110"/>
      <c r="L879" s="109"/>
      <c r="M879" s="111"/>
      <c r="N879" s="109"/>
      <c r="O879" s="109"/>
      <c r="P879" s="110"/>
      <c r="Q879" s="109"/>
      <c r="R879" s="111"/>
      <c r="S879" s="109"/>
      <c r="T879" s="109"/>
      <c r="U879" s="110"/>
      <c r="V879" s="109"/>
      <c r="W879" s="111"/>
      <c r="X879" s="109"/>
      <c r="Y879" s="109"/>
      <c r="Z879" s="110"/>
      <c r="AA879" s="109"/>
      <c r="AB879" s="111"/>
      <c r="AC879" s="109"/>
      <c r="AD879" s="109"/>
      <c r="AE879" s="110"/>
      <c r="AF879" s="109"/>
      <c r="AG879" s="111"/>
      <c r="AH879" s="109"/>
      <c r="AI879" s="109"/>
      <c r="AJ879" s="110"/>
      <c r="AK879" s="109"/>
      <c r="AL879" s="111"/>
      <c r="AM879" s="109"/>
      <c r="AN879" s="109"/>
      <c r="AO879" s="110"/>
      <c r="AP879" s="109"/>
      <c r="AQ879" s="111"/>
      <c r="AR879" s="109"/>
      <c r="AS879" s="109"/>
      <c r="AT879" s="110"/>
      <c r="AU879" s="109"/>
      <c r="AV879" s="111"/>
      <c r="AW879" s="109"/>
      <c r="AX879" s="109"/>
      <c r="AY879" s="110"/>
      <c r="AZ879" s="109"/>
      <c r="BA879" s="111"/>
      <c r="BB879" s="109"/>
      <c r="BC879" s="109"/>
      <c r="BD879" s="110"/>
      <c r="BE879" s="109"/>
      <c r="BF879" s="111"/>
      <c r="BG879" s="109"/>
      <c r="BH879" s="109"/>
      <c r="BI879" s="110"/>
      <c r="BJ879" s="109"/>
      <c r="BK879" s="111"/>
      <c r="BL879" s="109"/>
      <c r="BM879" s="109"/>
      <c r="BN879" s="110"/>
      <c r="BO879" s="109"/>
      <c r="BP879" s="111"/>
      <c r="BQ879" s="109"/>
      <c r="BR879" s="109"/>
      <c r="BS879" s="110"/>
      <c r="BT879" s="109"/>
      <c r="BU879" s="111"/>
      <c r="BV879" s="109"/>
      <c r="BW879" s="109"/>
      <c r="BX879" s="110"/>
      <c r="BY879" s="109"/>
      <c r="BZ879" s="111"/>
      <c r="CA879" s="109"/>
      <c r="CB879" s="109"/>
      <c r="CC879" s="110"/>
      <c r="CD879" s="109"/>
      <c r="CE879" s="111"/>
      <c r="CF879" s="109"/>
      <c r="CG879" s="109"/>
      <c r="CH879" s="110"/>
      <c r="CI879" s="109"/>
      <c r="CJ879" s="111"/>
      <c r="CK879" s="109"/>
      <c r="CL879" s="109"/>
      <c r="CM879" s="110"/>
      <c r="CN879" s="109"/>
      <c r="CO879" s="111"/>
      <c r="CP879" s="109"/>
      <c r="CQ879" s="109"/>
      <c r="CR879" s="110"/>
      <c r="CS879" s="109"/>
      <c r="CT879" s="111"/>
      <c r="CU879" s="109"/>
      <c r="CV879" s="109"/>
      <c r="CW879" s="110"/>
      <c r="CX879" s="109"/>
      <c r="CY879" s="111"/>
      <c r="CZ879" s="109"/>
      <c r="DA879" s="109"/>
      <c r="DB879" s="110"/>
      <c r="DC879" s="109"/>
      <c r="DD879" s="111"/>
      <c r="DE879" s="109"/>
      <c r="DF879" s="109"/>
      <c r="DG879" s="110"/>
      <c r="DH879" s="109"/>
      <c r="DI879" s="111"/>
      <c r="DJ879" s="109"/>
      <c r="DK879" s="109"/>
      <c r="DL879" s="110"/>
      <c r="DM879" s="109"/>
      <c r="DN879" s="111"/>
      <c r="DO879" s="109"/>
      <c r="DP879" s="109"/>
      <c r="DQ879" s="110"/>
      <c r="DR879" s="109"/>
      <c r="DS879" s="111"/>
      <c r="DT879" s="109"/>
      <c r="DU879" s="109"/>
      <c r="DV879" s="110"/>
      <c r="DW879" s="109"/>
      <c r="DX879" s="111"/>
      <c r="DY879" s="109"/>
      <c r="DZ879" s="109"/>
      <c r="EA879" s="110"/>
      <c r="EB879" s="109"/>
      <c r="EC879" s="111"/>
      <c r="ED879" s="109"/>
      <c r="EE879" s="109"/>
      <c r="EF879" s="110"/>
      <c r="EG879" s="109"/>
      <c r="EH879" s="111"/>
      <c r="EI879" s="109"/>
      <c r="EJ879" s="109"/>
      <c r="EK879" s="110"/>
      <c r="EL879" s="109"/>
      <c r="EM879" s="111"/>
      <c r="EN879" s="109"/>
      <c r="EO879" s="109"/>
      <c r="EP879" s="110"/>
      <c r="EQ879" s="109"/>
      <c r="ER879" s="111"/>
      <c r="ES879" s="109"/>
      <c r="ET879" s="109"/>
      <c r="EU879" s="110"/>
      <c r="EV879" s="109"/>
      <c r="EW879" s="111"/>
      <c r="EX879" s="109"/>
      <c r="EY879" s="109"/>
      <c r="EZ879" s="110"/>
      <c r="FA879" s="109"/>
      <c r="FB879" s="111"/>
      <c r="FC879" s="109"/>
      <c r="FD879" s="109"/>
      <c r="FE879" s="110"/>
      <c r="FF879" s="109"/>
      <c r="FG879" s="111"/>
      <c r="FH879" s="109"/>
      <c r="FI879" s="109"/>
      <c r="FJ879" s="110"/>
      <c r="FK879" s="109"/>
      <c r="FL879" s="111"/>
      <c r="FM879" s="109"/>
      <c r="FN879" s="109"/>
      <c r="FO879" s="110"/>
      <c r="FP879" s="109"/>
      <c r="FQ879" s="111"/>
      <c r="FR879" s="109"/>
      <c r="FS879" s="109"/>
      <c r="FT879" s="110"/>
      <c r="FU879" s="109"/>
      <c r="FV879" s="111"/>
      <c r="FW879" s="109"/>
      <c r="FX879" s="109"/>
      <c r="FY879" s="110"/>
      <c r="FZ879" s="109"/>
      <c r="GA879" s="111"/>
      <c r="GB879" s="109"/>
      <c r="GC879" s="109"/>
      <c r="GD879" s="110"/>
      <c r="GE879" s="109"/>
      <c r="GF879" s="111"/>
      <c r="GG879" s="109"/>
      <c r="GH879" s="109"/>
      <c r="GI879" s="110"/>
      <c r="GJ879" s="109"/>
      <c r="GK879" s="111"/>
      <c r="GL879" s="109"/>
      <c r="GM879" s="109"/>
      <c r="GN879" s="110"/>
      <c r="GO879" s="109"/>
      <c r="GP879" s="111"/>
      <c r="GQ879" s="109"/>
      <c r="GR879" s="109"/>
      <c r="GS879" s="110"/>
      <c r="GT879" s="109"/>
      <c r="GU879" s="111"/>
      <c r="GV879" s="109"/>
      <c r="GW879" s="109"/>
      <c r="GX879" s="110"/>
      <c r="GY879" s="109"/>
      <c r="GZ879" s="111"/>
      <c r="HA879" s="109"/>
      <c r="HB879" s="109"/>
      <c r="HC879" s="110"/>
      <c r="HD879" s="109"/>
      <c r="HE879" s="111"/>
      <c r="HF879" s="109"/>
      <c r="HG879" s="109"/>
      <c r="HH879" s="110"/>
      <c r="HI879" s="109"/>
      <c r="HJ879" s="111"/>
      <c r="HK879" s="109"/>
      <c r="HL879" s="109"/>
      <c r="HM879" s="110"/>
      <c r="HN879" s="109"/>
      <c r="HO879" s="111"/>
      <c r="HP879" s="109"/>
      <c r="HQ879" s="109"/>
      <c r="HR879" s="110"/>
      <c r="HS879" s="109"/>
      <c r="HT879" s="111"/>
      <c r="HU879" s="109"/>
      <c r="HV879" s="109"/>
      <c r="HW879" s="110"/>
      <c r="HX879" s="109"/>
      <c r="HY879" s="111"/>
      <c r="HZ879" s="109"/>
      <c r="IA879" s="109"/>
      <c r="IB879" s="110"/>
      <c r="IC879" s="109"/>
      <c r="ID879" s="111"/>
      <c r="IE879" s="109"/>
      <c r="IF879" s="109"/>
      <c r="IG879" s="110"/>
      <c r="IH879" s="109"/>
      <c r="II879" s="111"/>
      <c r="IJ879" s="109"/>
      <c r="IK879" s="109"/>
      <c r="IL879" s="110"/>
      <c r="IM879" s="109"/>
      <c r="IN879" s="111"/>
      <c r="IO879" s="109"/>
      <c r="IP879" s="109"/>
      <c r="IQ879" s="110"/>
      <c r="IR879" s="109"/>
      <c r="IS879" s="111"/>
      <c r="IT879" s="109"/>
      <c r="IU879" s="109"/>
      <c r="IV879" s="110"/>
    </row>
    <row r="880" spans="1:256" s="123" customFormat="1" ht="14.25">
      <c r="A880" s="134">
        <v>37132</v>
      </c>
      <c r="B880" s="111">
        <v>55.4973</v>
      </c>
      <c r="C880" s="111">
        <f t="shared" si="14"/>
        <v>0.055497300000000006</v>
      </c>
      <c r="D880" s="111">
        <v>33.0876</v>
      </c>
      <c r="E880" s="111">
        <v>36.5932</v>
      </c>
      <c r="F880" s="131"/>
      <c r="G880" s="109"/>
      <c r="H880" s="111"/>
      <c r="I880" s="109"/>
      <c r="J880" s="109"/>
      <c r="K880" s="110"/>
      <c r="L880" s="109"/>
      <c r="M880" s="111"/>
      <c r="N880" s="109"/>
      <c r="O880" s="109"/>
      <c r="P880" s="110"/>
      <c r="Q880" s="109"/>
      <c r="R880" s="111"/>
      <c r="S880" s="109"/>
      <c r="T880" s="109"/>
      <c r="U880" s="110"/>
      <c r="V880" s="109"/>
      <c r="W880" s="111"/>
      <c r="X880" s="109"/>
      <c r="Y880" s="109"/>
      <c r="Z880" s="110"/>
      <c r="AA880" s="109"/>
      <c r="AB880" s="111"/>
      <c r="AC880" s="109"/>
      <c r="AD880" s="109"/>
      <c r="AE880" s="110"/>
      <c r="AF880" s="109"/>
      <c r="AG880" s="111"/>
      <c r="AH880" s="109"/>
      <c r="AI880" s="109"/>
      <c r="AJ880" s="110"/>
      <c r="AK880" s="109"/>
      <c r="AL880" s="111"/>
      <c r="AM880" s="109"/>
      <c r="AN880" s="109"/>
      <c r="AO880" s="110"/>
      <c r="AP880" s="109"/>
      <c r="AQ880" s="111"/>
      <c r="AR880" s="109"/>
      <c r="AS880" s="109"/>
      <c r="AT880" s="110"/>
      <c r="AU880" s="109"/>
      <c r="AV880" s="111"/>
      <c r="AW880" s="109"/>
      <c r="AX880" s="109"/>
      <c r="AY880" s="110"/>
      <c r="AZ880" s="109"/>
      <c r="BA880" s="111"/>
      <c r="BB880" s="109"/>
      <c r="BC880" s="109"/>
      <c r="BD880" s="110"/>
      <c r="BE880" s="109"/>
      <c r="BF880" s="111"/>
      <c r="BG880" s="109"/>
      <c r="BH880" s="109"/>
      <c r="BI880" s="110"/>
      <c r="BJ880" s="109"/>
      <c r="BK880" s="111"/>
      <c r="BL880" s="109"/>
      <c r="BM880" s="109"/>
      <c r="BN880" s="110"/>
      <c r="BO880" s="109"/>
      <c r="BP880" s="111"/>
      <c r="BQ880" s="109"/>
      <c r="BR880" s="109"/>
      <c r="BS880" s="110"/>
      <c r="BT880" s="109"/>
      <c r="BU880" s="111"/>
      <c r="BV880" s="109"/>
      <c r="BW880" s="109"/>
      <c r="BX880" s="110"/>
      <c r="BY880" s="109"/>
      <c r="BZ880" s="111"/>
      <c r="CA880" s="109"/>
      <c r="CB880" s="109"/>
      <c r="CC880" s="110"/>
      <c r="CD880" s="109"/>
      <c r="CE880" s="111"/>
      <c r="CF880" s="109"/>
      <c r="CG880" s="109"/>
      <c r="CH880" s="110"/>
      <c r="CI880" s="109"/>
      <c r="CJ880" s="111"/>
      <c r="CK880" s="109"/>
      <c r="CL880" s="109"/>
      <c r="CM880" s="110"/>
      <c r="CN880" s="109"/>
      <c r="CO880" s="111"/>
      <c r="CP880" s="109"/>
      <c r="CQ880" s="109"/>
      <c r="CR880" s="110"/>
      <c r="CS880" s="109"/>
      <c r="CT880" s="111"/>
      <c r="CU880" s="109"/>
      <c r="CV880" s="109"/>
      <c r="CW880" s="110"/>
      <c r="CX880" s="109"/>
      <c r="CY880" s="111"/>
      <c r="CZ880" s="109"/>
      <c r="DA880" s="109"/>
      <c r="DB880" s="110"/>
      <c r="DC880" s="109"/>
      <c r="DD880" s="111"/>
      <c r="DE880" s="109"/>
      <c r="DF880" s="109"/>
      <c r="DG880" s="110"/>
      <c r="DH880" s="109"/>
      <c r="DI880" s="111"/>
      <c r="DJ880" s="109"/>
      <c r="DK880" s="109"/>
      <c r="DL880" s="110"/>
      <c r="DM880" s="109"/>
      <c r="DN880" s="111"/>
      <c r="DO880" s="109"/>
      <c r="DP880" s="109"/>
      <c r="DQ880" s="110"/>
      <c r="DR880" s="109"/>
      <c r="DS880" s="111"/>
      <c r="DT880" s="109"/>
      <c r="DU880" s="109"/>
      <c r="DV880" s="110"/>
      <c r="DW880" s="109"/>
      <c r="DX880" s="111"/>
      <c r="DY880" s="109"/>
      <c r="DZ880" s="109"/>
      <c r="EA880" s="110"/>
      <c r="EB880" s="109"/>
      <c r="EC880" s="111"/>
      <c r="ED880" s="109"/>
      <c r="EE880" s="109"/>
      <c r="EF880" s="110"/>
      <c r="EG880" s="109"/>
      <c r="EH880" s="111"/>
      <c r="EI880" s="109"/>
      <c r="EJ880" s="109"/>
      <c r="EK880" s="110"/>
      <c r="EL880" s="109"/>
      <c r="EM880" s="111"/>
      <c r="EN880" s="109"/>
      <c r="EO880" s="109"/>
      <c r="EP880" s="110"/>
      <c r="EQ880" s="109"/>
      <c r="ER880" s="111"/>
      <c r="ES880" s="109"/>
      <c r="ET880" s="109"/>
      <c r="EU880" s="110"/>
      <c r="EV880" s="109"/>
      <c r="EW880" s="111"/>
      <c r="EX880" s="109"/>
      <c r="EY880" s="109"/>
      <c r="EZ880" s="110"/>
      <c r="FA880" s="109"/>
      <c r="FB880" s="111"/>
      <c r="FC880" s="109"/>
      <c r="FD880" s="109"/>
      <c r="FE880" s="110"/>
      <c r="FF880" s="109"/>
      <c r="FG880" s="111"/>
      <c r="FH880" s="109"/>
      <c r="FI880" s="109"/>
      <c r="FJ880" s="110"/>
      <c r="FK880" s="109"/>
      <c r="FL880" s="111"/>
      <c r="FM880" s="109"/>
      <c r="FN880" s="109"/>
      <c r="FO880" s="110"/>
      <c r="FP880" s="109"/>
      <c r="FQ880" s="111"/>
      <c r="FR880" s="109"/>
      <c r="FS880" s="109"/>
      <c r="FT880" s="110"/>
      <c r="FU880" s="109"/>
      <c r="FV880" s="111"/>
      <c r="FW880" s="109"/>
      <c r="FX880" s="109"/>
      <c r="FY880" s="110"/>
      <c r="FZ880" s="109"/>
      <c r="GA880" s="111"/>
      <c r="GB880" s="109"/>
      <c r="GC880" s="109"/>
      <c r="GD880" s="110"/>
      <c r="GE880" s="109"/>
      <c r="GF880" s="111"/>
      <c r="GG880" s="109"/>
      <c r="GH880" s="109"/>
      <c r="GI880" s="110"/>
      <c r="GJ880" s="109"/>
      <c r="GK880" s="111"/>
      <c r="GL880" s="109"/>
      <c r="GM880" s="109"/>
      <c r="GN880" s="110"/>
      <c r="GO880" s="109"/>
      <c r="GP880" s="111"/>
      <c r="GQ880" s="109"/>
      <c r="GR880" s="109"/>
      <c r="GS880" s="110"/>
      <c r="GT880" s="109"/>
      <c r="GU880" s="111"/>
      <c r="GV880" s="109"/>
      <c r="GW880" s="109"/>
      <c r="GX880" s="110"/>
      <c r="GY880" s="109"/>
      <c r="GZ880" s="111"/>
      <c r="HA880" s="109"/>
      <c r="HB880" s="109"/>
      <c r="HC880" s="110"/>
      <c r="HD880" s="109"/>
      <c r="HE880" s="111"/>
      <c r="HF880" s="109"/>
      <c r="HG880" s="109"/>
      <c r="HH880" s="110"/>
      <c r="HI880" s="109"/>
      <c r="HJ880" s="111"/>
      <c r="HK880" s="109"/>
      <c r="HL880" s="109"/>
      <c r="HM880" s="110"/>
      <c r="HN880" s="109"/>
      <c r="HO880" s="111"/>
      <c r="HP880" s="109"/>
      <c r="HQ880" s="109"/>
      <c r="HR880" s="110"/>
      <c r="HS880" s="109"/>
      <c r="HT880" s="111"/>
      <c r="HU880" s="109"/>
      <c r="HV880" s="109"/>
      <c r="HW880" s="110"/>
      <c r="HX880" s="109"/>
      <c r="HY880" s="111"/>
      <c r="HZ880" s="109"/>
      <c r="IA880" s="109"/>
      <c r="IB880" s="110"/>
      <c r="IC880" s="109"/>
      <c r="ID880" s="111"/>
      <c r="IE880" s="109"/>
      <c r="IF880" s="109"/>
      <c r="IG880" s="110"/>
      <c r="IH880" s="109"/>
      <c r="II880" s="111"/>
      <c r="IJ880" s="109"/>
      <c r="IK880" s="109"/>
      <c r="IL880" s="110"/>
      <c r="IM880" s="109"/>
      <c r="IN880" s="111"/>
      <c r="IO880" s="109"/>
      <c r="IP880" s="109"/>
      <c r="IQ880" s="110"/>
      <c r="IR880" s="109"/>
      <c r="IS880" s="111"/>
      <c r="IT880" s="109"/>
      <c r="IU880" s="109"/>
      <c r="IV880" s="110"/>
    </row>
    <row r="881" spans="1:256" s="123" customFormat="1" ht="14.25">
      <c r="A881" s="134">
        <v>37133</v>
      </c>
      <c r="B881" s="111">
        <v>65.8686</v>
      </c>
      <c r="C881" s="111">
        <f t="shared" si="14"/>
        <v>0.0658686</v>
      </c>
      <c r="D881" s="111">
        <v>39.6132</v>
      </c>
      <c r="E881" s="111">
        <v>43.426</v>
      </c>
      <c r="F881" s="131"/>
      <c r="G881" s="109"/>
      <c r="H881" s="111"/>
      <c r="I881" s="109"/>
      <c r="J881" s="109"/>
      <c r="K881" s="110"/>
      <c r="L881" s="109"/>
      <c r="M881" s="111"/>
      <c r="N881" s="109"/>
      <c r="O881" s="109"/>
      <c r="P881" s="110"/>
      <c r="Q881" s="109"/>
      <c r="R881" s="111"/>
      <c r="S881" s="109"/>
      <c r="T881" s="109"/>
      <c r="U881" s="110"/>
      <c r="V881" s="109"/>
      <c r="W881" s="111"/>
      <c r="X881" s="109"/>
      <c r="Y881" s="109"/>
      <c r="Z881" s="110"/>
      <c r="AA881" s="109"/>
      <c r="AB881" s="111"/>
      <c r="AC881" s="109"/>
      <c r="AD881" s="109"/>
      <c r="AE881" s="110"/>
      <c r="AF881" s="109"/>
      <c r="AG881" s="111"/>
      <c r="AH881" s="109"/>
      <c r="AI881" s="109"/>
      <c r="AJ881" s="110"/>
      <c r="AK881" s="109"/>
      <c r="AL881" s="111"/>
      <c r="AM881" s="109"/>
      <c r="AN881" s="109"/>
      <c r="AO881" s="110"/>
      <c r="AP881" s="109"/>
      <c r="AQ881" s="111"/>
      <c r="AR881" s="109"/>
      <c r="AS881" s="109"/>
      <c r="AT881" s="110"/>
      <c r="AU881" s="109"/>
      <c r="AV881" s="111"/>
      <c r="AW881" s="109"/>
      <c r="AX881" s="109"/>
      <c r="AY881" s="110"/>
      <c r="AZ881" s="109"/>
      <c r="BA881" s="111"/>
      <c r="BB881" s="109"/>
      <c r="BC881" s="109"/>
      <c r="BD881" s="110"/>
      <c r="BE881" s="109"/>
      <c r="BF881" s="111"/>
      <c r="BG881" s="109"/>
      <c r="BH881" s="109"/>
      <c r="BI881" s="110"/>
      <c r="BJ881" s="109"/>
      <c r="BK881" s="111"/>
      <c r="BL881" s="109"/>
      <c r="BM881" s="109"/>
      <c r="BN881" s="110"/>
      <c r="BO881" s="109"/>
      <c r="BP881" s="111"/>
      <c r="BQ881" s="109"/>
      <c r="BR881" s="109"/>
      <c r="BS881" s="110"/>
      <c r="BT881" s="109"/>
      <c r="BU881" s="111"/>
      <c r="BV881" s="109"/>
      <c r="BW881" s="109"/>
      <c r="BX881" s="110"/>
      <c r="BY881" s="109"/>
      <c r="BZ881" s="111"/>
      <c r="CA881" s="109"/>
      <c r="CB881" s="109"/>
      <c r="CC881" s="110"/>
      <c r="CD881" s="109"/>
      <c r="CE881" s="111"/>
      <c r="CF881" s="109"/>
      <c r="CG881" s="109"/>
      <c r="CH881" s="110"/>
      <c r="CI881" s="109"/>
      <c r="CJ881" s="111"/>
      <c r="CK881" s="109"/>
      <c r="CL881" s="109"/>
      <c r="CM881" s="110"/>
      <c r="CN881" s="109"/>
      <c r="CO881" s="111"/>
      <c r="CP881" s="109"/>
      <c r="CQ881" s="109"/>
      <c r="CR881" s="110"/>
      <c r="CS881" s="109"/>
      <c r="CT881" s="111"/>
      <c r="CU881" s="109"/>
      <c r="CV881" s="109"/>
      <c r="CW881" s="110"/>
      <c r="CX881" s="109"/>
      <c r="CY881" s="111"/>
      <c r="CZ881" s="109"/>
      <c r="DA881" s="109"/>
      <c r="DB881" s="110"/>
      <c r="DC881" s="109"/>
      <c r="DD881" s="111"/>
      <c r="DE881" s="109"/>
      <c r="DF881" s="109"/>
      <c r="DG881" s="110"/>
      <c r="DH881" s="109"/>
      <c r="DI881" s="111"/>
      <c r="DJ881" s="109"/>
      <c r="DK881" s="109"/>
      <c r="DL881" s="110"/>
      <c r="DM881" s="109"/>
      <c r="DN881" s="111"/>
      <c r="DO881" s="109"/>
      <c r="DP881" s="109"/>
      <c r="DQ881" s="110"/>
      <c r="DR881" s="109"/>
      <c r="DS881" s="111"/>
      <c r="DT881" s="109"/>
      <c r="DU881" s="109"/>
      <c r="DV881" s="110"/>
      <c r="DW881" s="109"/>
      <c r="DX881" s="111"/>
      <c r="DY881" s="109"/>
      <c r="DZ881" s="109"/>
      <c r="EA881" s="110"/>
      <c r="EB881" s="109"/>
      <c r="EC881" s="111"/>
      <c r="ED881" s="109"/>
      <c r="EE881" s="109"/>
      <c r="EF881" s="110"/>
      <c r="EG881" s="109"/>
      <c r="EH881" s="111"/>
      <c r="EI881" s="109"/>
      <c r="EJ881" s="109"/>
      <c r="EK881" s="110"/>
      <c r="EL881" s="109"/>
      <c r="EM881" s="111"/>
      <c r="EN881" s="109"/>
      <c r="EO881" s="109"/>
      <c r="EP881" s="110"/>
      <c r="EQ881" s="109"/>
      <c r="ER881" s="111"/>
      <c r="ES881" s="109"/>
      <c r="ET881" s="109"/>
      <c r="EU881" s="110"/>
      <c r="EV881" s="109"/>
      <c r="EW881" s="111"/>
      <c r="EX881" s="109"/>
      <c r="EY881" s="109"/>
      <c r="EZ881" s="110"/>
      <c r="FA881" s="109"/>
      <c r="FB881" s="111"/>
      <c r="FC881" s="109"/>
      <c r="FD881" s="109"/>
      <c r="FE881" s="110"/>
      <c r="FF881" s="109"/>
      <c r="FG881" s="111"/>
      <c r="FH881" s="109"/>
      <c r="FI881" s="109"/>
      <c r="FJ881" s="110"/>
      <c r="FK881" s="109"/>
      <c r="FL881" s="111"/>
      <c r="FM881" s="109"/>
      <c r="FN881" s="109"/>
      <c r="FO881" s="110"/>
      <c r="FP881" s="109"/>
      <c r="FQ881" s="111"/>
      <c r="FR881" s="109"/>
      <c r="FS881" s="109"/>
      <c r="FT881" s="110"/>
      <c r="FU881" s="109"/>
      <c r="FV881" s="111"/>
      <c r="FW881" s="109"/>
      <c r="FX881" s="109"/>
      <c r="FY881" s="110"/>
      <c r="FZ881" s="109"/>
      <c r="GA881" s="111"/>
      <c r="GB881" s="109"/>
      <c r="GC881" s="109"/>
      <c r="GD881" s="110"/>
      <c r="GE881" s="109"/>
      <c r="GF881" s="111"/>
      <c r="GG881" s="109"/>
      <c r="GH881" s="109"/>
      <c r="GI881" s="110"/>
      <c r="GJ881" s="109"/>
      <c r="GK881" s="111"/>
      <c r="GL881" s="109"/>
      <c r="GM881" s="109"/>
      <c r="GN881" s="110"/>
      <c r="GO881" s="109"/>
      <c r="GP881" s="111"/>
      <c r="GQ881" s="109"/>
      <c r="GR881" s="109"/>
      <c r="GS881" s="110"/>
      <c r="GT881" s="109"/>
      <c r="GU881" s="111"/>
      <c r="GV881" s="109"/>
      <c r="GW881" s="109"/>
      <c r="GX881" s="110"/>
      <c r="GY881" s="109"/>
      <c r="GZ881" s="111"/>
      <c r="HA881" s="109"/>
      <c r="HB881" s="109"/>
      <c r="HC881" s="110"/>
      <c r="HD881" s="109"/>
      <c r="HE881" s="111"/>
      <c r="HF881" s="109"/>
      <c r="HG881" s="109"/>
      <c r="HH881" s="110"/>
      <c r="HI881" s="109"/>
      <c r="HJ881" s="111"/>
      <c r="HK881" s="109"/>
      <c r="HL881" s="109"/>
      <c r="HM881" s="110"/>
      <c r="HN881" s="109"/>
      <c r="HO881" s="111"/>
      <c r="HP881" s="109"/>
      <c r="HQ881" s="109"/>
      <c r="HR881" s="110"/>
      <c r="HS881" s="109"/>
      <c r="HT881" s="111"/>
      <c r="HU881" s="109"/>
      <c r="HV881" s="109"/>
      <c r="HW881" s="110"/>
      <c r="HX881" s="109"/>
      <c r="HY881" s="111"/>
      <c r="HZ881" s="109"/>
      <c r="IA881" s="109"/>
      <c r="IB881" s="110"/>
      <c r="IC881" s="109"/>
      <c r="ID881" s="111"/>
      <c r="IE881" s="109"/>
      <c r="IF881" s="109"/>
      <c r="IG881" s="110"/>
      <c r="IH881" s="109"/>
      <c r="II881" s="111"/>
      <c r="IJ881" s="109"/>
      <c r="IK881" s="109"/>
      <c r="IL881" s="110"/>
      <c r="IM881" s="109"/>
      <c r="IN881" s="111"/>
      <c r="IO881" s="109"/>
      <c r="IP881" s="109"/>
      <c r="IQ881" s="110"/>
      <c r="IR881" s="109"/>
      <c r="IS881" s="111"/>
      <c r="IT881" s="109"/>
      <c r="IU881" s="109"/>
      <c r="IV881" s="110"/>
    </row>
    <row r="882" spans="1:256" s="123" customFormat="1" ht="14.25">
      <c r="A882" s="134">
        <v>37134</v>
      </c>
      <c r="B882" s="111">
        <v>59.1748</v>
      </c>
      <c r="C882" s="111">
        <f t="shared" si="14"/>
        <v>0.0591748</v>
      </c>
      <c r="D882" s="111">
        <v>35.4753</v>
      </c>
      <c r="E882" s="111">
        <v>39.0052</v>
      </c>
      <c r="F882" s="131"/>
      <c r="G882" s="109"/>
      <c r="H882" s="111"/>
      <c r="I882" s="109"/>
      <c r="J882" s="109"/>
      <c r="K882" s="110"/>
      <c r="L882" s="109"/>
      <c r="M882" s="111"/>
      <c r="N882" s="109"/>
      <c r="O882" s="109"/>
      <c r="P882" s="110"/>
      <c r="Q882" s="109"/>
      <c r="R882" s="111"/>
      <c r="S882" s="109"/>
      <c r="T882" s="109"/>
      <c r="U882" s="110"/>
      <c r="V882" s="109"/>
      <c r="W882" s="111"/>
      <c r="X882" s="109"/>
      <c r="Y882" s="109"/>
      <c r="Z882" s="110"/>
      <c r="AA882" s="109"/>
      <c r="AB882" s="111"/>
      <c r="AC882" s="109"/>
      <c r="AD882" s="109"/>
      <c r="AE882" s="110"/>
      <c r="AF882" s="109"/>
      <c r="AG882" s="111"/>
      <c r="AH882" s="109"/>
      <c r="AI882" s="109"/>
      <c r="AJ882" s="110"/>
      <c r="AK882" s="109"/>
      <c r="AL882" s="111"/>
      <c r="AM882" s="109"/>
      <c r="AN882" s="109"/>
      <c r="AO882" s="110"/>
      <c r="AP882" s="109"/>
      <c r="AQ882" s="111"/>
      <c r="AR882" s="109"/>
      <c r="AS882" s="109"/>
      <c r="AT882" s="110"/>
      <c r="AU882" s="109"/>
      <c r="AV882" s="111"/>
      <c r="AW882" s="109"/>
      <c r="AX882" s="109"/>
      <c r="AY882" s="110"/>
      <c r="AZ882" s="109"/>
      <c r="BA882" s="111"/>
      <c r="BB882" s="109"/>
      <c r="BC882" s="109"/>
      <c r="BD882" s="110"/>
      <c r="BE882" s="109"/>
      <c r="BF882" s="111"/>
      <c r="BG882" s="109"/>
      <c r="BH882" s="109"/>
      <c r="BI882" s="110"/>
      <c r="BJ882" s="109"/>
      <c r="BK882" s="111"/>
      <c r="BL882" s="109"/>
      <c r="BM882" s="109"/>
      <c r="BN882" s="110"/>
      <c r="BO882" s="109"/>
      <c r="BP882" s="111"/>
      <c r="BQ882" s="109"/>
      <c r="BR882" s="109"/>
      <c r="BS882" s="110"/>
      <c r="BT882" s="109"/>
      <c r="BU882" s="111"/>
      <c r="BV882" s="109"/>
      <c r="BW882" s="109"/>
      <c r="BX882" s="110"/>
      <c r="BY882" s="109"/>
      <c r="BZ882" s="111"/>
      <c r="CA882" s="109"/>
      <c r="CB882" s="109"/>
      <c r="CC882" s="110"/>
      <c r="CD882" s="109"/>
      <c r="CE882" s="111"/>
      <c r="CF882" s="109"/>
      <c r="CG882" s="109"/>
      <c r="CH882" s="110"/>
      <c r="CI882" s="109"/>
      <c r="CJ882" s="111"/>
      <c r="CK882" s="109"/>
      <c r="CL882" s="109"/>
      <c r="CM882" s="110"/>
      <c r="CN882" s="109"/>
      <c r="CO882" s="111"/>
      <c r="CP882" s="109"/>
      <c r="CQ882" s="109"/>
      <c r="CR882" s="110"/>
      <c r="CS882" s="109"/>
      <c r="CT882" s="111"/>
      <c r="CU882" s="109"/>
      <c r="CV882" s="109"/>
      <c r="CW882" s="110"/>
      <c r="CX882" s="109"/>
      <c r="CY882" s="111"/>
      <c r="CZ882" s="109"/>
      <c r="DA882" s="109"/>
      <c r="DB882" s="110"/>
      <c r="DC882" s="109"/>
      <c r="DD882" s="111"/>
      <c r="DE882" s="109"/>
      <c r="DF882" s="109"/>
      <c r="DG882" s="110"/>
      <c r="DH882" s="109"/>
      <c r="DI882" s="111"/>
      <c r="DJ882" s="109"/>
      <c r="DK882" s="109"/>
      <c r="DL882" s="110"/>
      <c r="DM882" s="109"/>
      <c r="DN882" s="111"/>
      <c r="DO882" s="109"/>
      <c r="DP882" s="109"/>
      <c r="DQ882" s="110"/>
      <c r="DR882" s="109"/>
      <c r="DS882" s="111"/>
      <c r="DT882" s="109"/>
      <c r="DU882" s="109"/>
      <c r="DV882" s="110"/>
      <c r="DW882" s="109"/>
      <c r="DX882" s="111"/>
      <c r="DY882" s="109"/>
      <c r="DZ882" s="109"/>
      <c r="EA882" s="110"/>
      <c r="EB882" s="109"/>
      <c r="EC882" s="111"/>
      <c r="ED882" s="109"/>
      <c r="EE882" s="109"/>
      <c r="EF882" s="110"/>
      <c r="EG882" s="109"/>
      <c r="EH882" s="111"/>
      <c r="EI882" s="109"/>
      <c r="EJ882" s="109"/>
      <c r="EK882" s="110"/>
      <c r="EL882" s="109"/>
      <c r="EM882" s="111"/>
      <c r="EN882" s="109"/>
      <c r="EO882" s="109"/>
      <c r="EP882" s="110"/>
      <c r="EQ882" s="109"/>
      <c r="ER882" s="111"/>
      <c r="ES882" s="109"/>
      <c r="ET882" s="109"/>
      <c r="EU882" s="110"/>
      <c r="EV882" s="109"/>
      <c r="EW882" s="111"/>
      <c r="EX882" s="109"/>
      <c r="EY882" s="109"/>
      <c r="EZ882" s="110"/>
      <c r="FA882" s="109"/>
      <c r="FB882" s="111"/>
      <c r="FC882" s="109"/>
      <c r="FD882" s="109"/>
      <c r="FE882" s="110"/>
      <c r="FF882" s="109"/>
      <c r="FG882" s="111"/>
      <c r="FH882" s="109"/>
      <c r="FI882" s="109"/>
      <c r="FJ882" s="110"/>
      <c r="FK882" s="109"/>
      <c r="FL882" s="111"/>
      <c r="FM882" s="109"/>
      <c r="FN882" s="109"/>
      <c r="FO882" s="110"/>
      <c r="FP882" s="109"/>
      <c r="FQ882" s="111"/>
      <c r="FR882" s="109"/>
      <c r="FS882" s="109"/>
      <c r="FT882" s="110"/>
      <c r="FU882" s="109"/>
      <c r="FV882" s="111"/>
      <c r="FW882" s="109"/>
      <c r="FX882" s="109"/>
      <c r="FY882" s="110"/>
      <c r="FZ882" s="109"/>
      <c r="GA882" s="111"/>
      <c r="GB882" s="109"/>
      <c r="GC882" s="109"/>
      <c r="GD882" s="110"/>
      <c r="GE882" s="109"/>
      <c r="GF882" s="111"/>
      <c r="GG882" s="109"/>
      <c r="GH882" s="109"/>
      <c r="GI882" s="110"/>
      <c r="GJ882" s="109"/>
      <c r="GK882" s="111"/>
      <c r="GL882" s="109"/>
      <c r="GM882" s="109"/>
      <c r="GN882" s="110"/>
      <c r="GO882" s="109"/>
      <c r="GP882" s="111"/>
      <c r="GQ882" s="109"/>
      <c r="GR882" s="109"/>
      <c r="GS882" s="110"/>
      <c r="GT882" s="109"/>
      <c r="GU882" s="111"/>
      <c r="GV882" s="109"/>
      <c r="GW882" s="109"/>
      <c r="GX882" s="110"/>
      <c r="GY882" s="109"/>
      <c r="GZ882" s="111"/>
      <c r="HA882" s="109"/>
      <c r="HB882" s="109"/>
      <c r="HC882" s="110"/>
      <c r="HD882" s="109"/>
      <c r="HE882" s="111"/>
      <c r="HF882" s="109"/>
      <c r="HG882" s="109"/>
      <c r="HH882" s="110"/>
      <c r="HI882" s="109"/>
      <c r="HJ882" s="111"/>
      <c r="HK882" s="109"/>
      <c r="HL882" s="109"/>
      <c r="HM882" s="110"/>
      <c r="HN882" s="109"/>
      <c r="HO882" s="111"/>
      <c r="HP882" s="109"/>
      <c r="HQ882" s="109"/>
      <c r="HR882" s="110"/>
      <c r="HS882" s="109"/>
      <c r="HT882" s="111"/>
      <c r="HU882" s="109"/>
      <c r="HV882" s="109"/>
      <c r="HW882" s="110"/>
      <c r="HX882" s="109"/>
      <c r="HY882" s="111"/>
      <c r="HZ882" s="109"/>
      <c r="IA882" s="109"/>
      <c r="IB882" s="110"/>
      <c r="IC882" s="109"/>
      <c r="ID882" s="111"/>
      <c r="IE882" s="109"/>
      <c r="IF882" s="109"/>
      <c r="IG882" s="110"/>
      <c r="IH882" s="109"/>
      <c r="II882" s="111"/>
      <c r="IJ882" s="109"/>
      <c r="IK882" s="109"/>
      <c r="IL882" s="110"/>
      <c r="IM882" s="109"/>
      <c r="IN882" s="111"/>
      <c r="IO882" s="109"/>
      <c r="IP882" s="109"/>
      <c r="IQ882" s="110"/>
      <c r="IR882" s="109"/>
      <c r="IS882" s="111"/>
      <c r="IT882" s="109"/>
      <c r="IU882" s="109"/>
      <c r="IV882" s="110"/>
    </row>
    <row r="883" spans="1:256" s="123" customFormat="1" ht="14.25">
      <c r="A883" s="134">
        <v>37137</v>
      </c>
      <c r="B883" s="111">
        <v>58.6867</v>
      </c>
      <c r="C883" s="111">
        <f t="shared" si="14"/>
        <v>0.0586867</v>
      </c>
      <c r="D883" s="111">
        <v>35.4403</v>
      </c>
      <c r="E883" s="111">
        <v>38.6987</v>
      </c>
      <c r="F883" s="131"/>
      <c r="G883" s="109"/>
      <c r="H883" s="111"/>
      <c r="I883" s="109"/>
      <c r="J883" s="109"/>
      <c r="K883" s="110"/>
      <c r="L883" s="109"/>
      <c r="M883" s="111"/>
      <c r="N883" s="109"/>
      <c r="O883" s="109"/>
      <c r="P883" s="110"/>
      <c r="Q883" s="109"/>
      <c r="R883" s="111"/>
      <c r="S883" s="109"/>
      <c r="T883" s="109"/>
      <c r="U883" s="110"/>
      <c r="V883" s="109"/>
      <c r="W883" s="111"/>
      <c r="X883" s="109"/>
      <c r="Y883" s="109"/>
      <c r="Z883" s="110"/>
      <c r="AA883" s="109"/>
      <c r="AB883" s="111"/>
      <c r="AC883" s="109"/>
      <c r="AD883" s="109"/>
      <c r="AE883" s="110"/>
      <c r="AF883" s="109"/>
      <c r="AG883" s="111"/>
      <c r="AH883" s="109"/>
      <c r="AI883" s="109"/>
      <c r="AJ883" s="110"/>
      <c r="AK883" s="109"/>
      <c r="AL883" s="111"/>
      <c r="AM883" s="109"/>
      <c r="AN883" s="109"/>
      <c r="AO883" s="110"/>
      <c r="AP883" s="109"/>
      <c r="AQ883" s="111"/>
      <c r="AR883" s="109"/>
      <c r="AS883" s="109"/>
      <c r="AT883" s="110"/>
      <c r="AU883" s="109"/>
      <c r="AV883" s="111"/>
      <c r="AW883" s="109"/>
      <c r="AX883" s="109"/>
      <c r="AY883" s="110"/>
      <c r="AZ883" s="109"/>
      <c r="BA883" s="111"/>
      <c r="BB883" s="109"/>
      <c r="BC883" s="109"/>
      <c r="BD883" s="110"/>
      <c r="BE883" s="109"/>
      <c r="BF883" s="111"/>
      <c r="BG883" s="109"/>
      <c r="BH883" s="109"/>
      <c r="BI883" s="110"/>
      <c r="BJ883" s="109"/>
      <c r="BK883" s="111"/>
      <c r="BL883" s="109"/>
      <c r="BM883" s="109"/>
      <c r="BN883" s="110"/>
      <c r="BO883" s="109"/>
      <c r="BP883" s="111"/>
      <c r="BQ883" s="109"/>
      <c r="BR883" s="109"/>
      <c r="BS883" s="110"/>
      <c r="BT883" s="109"/>
      <c r="BU883" s="111"/>
      <c r="BV883" s="109"/>
      <c r="BW883" s="109"/>
      <c r="BX883" s="110"/>
      <c r="BY883" s="109"/>
      <c r="BZ883" s="111"/>
      <c r="CA883" s="109"/>
      <c r="CB883" s="109"/>
      <c r="CC883" s="110"/>
      <c r="CD883" s="109"/>
      <c r="CE883" s="111"/>
      <c r="CF883" s="109"/>
      <c r="CG883" s="109"/>
      <c r="CH883" s="110"/>
      <c r="CI883" s="109"/>
      <c r="CJ883" s="111"/>
      <c r="CK883" s="109"/>
      <c r="CL883" s="109"/>
      <c r="CM883" s="110"/>
      <c r="CN883" s="109"/>
      <c r="CO883" s="111"/>
      <c r="CP883" s="109"/>
      <c r="CQ883" s="109"/>
      <c r="CR883" s="110"/>
      <c r="CS883" s="109"/>
      <c r="CT883" s="111"/>
      <c r="CU883" s="109"/>
      <c r="CV883" s="109"/>
      <c r="CW883" s="110"/>
      <c r="CX883" s="109"/>
      <c r="CY883" s="111"/>
      <c r="CZ883" s="109"/>
      <c r="DA883" s="109"/>
      <c r="DB883" s="110"/>
      <c r="DC883" s="109"/>
      <c r="DD883" s="111"/>
      <c r="DE883" s="109"/>
      <c r="DF883" s="109"/>
      <c r="DG883" s="110"/>
      <c r="DH883" s="109"/>
      <c r="DI883" s="111"/>
      <c r="DJ883" s="109"/>
      <c r="DK883" s="109"/>
      <c r="DL883" s="110"/>
      <c r="DM883" s="109"/>
      <c r="DN883" s="111"/>
      <c r="DO883" s="109"/>
      <c r="DP883" s="109"/>
      <c r="DQ883" s="110"/>
      <c r="DR883" s="109"/>
      <c r="DS883" s="111"/>
      <c r="DT883" s="109"/>
      <c r="DU883" s="109"/>
      <c r="DV883" s="110"/>
      <c r="DW883" s="109"/>
      <c r="DX883" s="111"/>
      <c r="DY883" s="109"/>
      <c r="DZ883" s="109"/>
      <c r="EA883" s="110"/>
      <c r="EB883" s="109"/>
      <c r="EC883" s="111"/>
      <c r="ED883" s="109"/>
      <c r="EE883" s="109"/>
      <c r="EF883" s="110"/>
      <c r="EG883" s="109"/>
      <c r="EH883" s="111"/>
      <c r="EI883" s="109"/>
      <c r="EJ883" s="109"/>
      <c r="EK883" s="110"/>
      <c r="EL883" s="109"/>
      <c r="EM883" s="111"/>
      <c r="EN883" s="109"/>
      <c r="EO883" s="109"/>
      <c r="EP883" s="110"/>
      <c r="EQ883" s="109"/>
      <c r="ER883" s="111"/>
      <c r="ES883" s="109"/>
      <c r="ET883" s="109"/>
      <c r="EU883" s="110"/>
      <c r="EV883" s="109"/>
      <c r="EW883" s="111"/>
      <c r="EX883" s="109"/>
      <c r="EY883" s="109"/>
      <c r="EZ883" s="110"/>
      <c r="FA883" s="109"/>
      <c r="FB883" s="111"/>
      <c r="FC883" s="109"/>
      <c r="FD883" s="109"/>
      <c r="FE883" s="110"/>
      <c r="FF883" s="109"/>
      <c r="FG883" s="111"/>
      <c r="FH883" s="109"/>
      <c r="FI883" s="109"/>
      <c r="FJ883" s="110"/>
      <c r="FK883" s="109"/>
      <c r="FL883" s="111"/>
      <c r="FM883" s="109"/>
      <c r="FN883" s="109"/>
      <c r="FO883" s="110"/>
      <c r="FP883" s="109"/>
      <c r="FQ883" s="111"/>
      <c r="FR883" s="109"/>
      <c r="FS883" s="109"/>
      <c r="FT883" s="110"/>
      <c r="FU883" s="109"/>
      <c r="FV883" s="111"/>
      <c r="FW883" s="109"/>
      <c r="FX883" s="109"/>
      <c r="FY883" s="110"/>
      <c r="FZ883" s="109"/>
      <c r="GA883" s="111"/>
      <c r="GB883" s="109"/>
      <c r="GC883" s="109"/>
      <c r="GD883" s="110"/>
      <c r="GE883" s="109"/>
      <c r="GF883" s="111"/>
      <c r="GG883" s="109"/>
      <c r="GH883" s="109"/>
      <c r="GI883" s="110"/>
      <c r="GJ883" s="109"/>
      <c r="GK883" s="111"/>
      <c r="GL883" s="109"/>
      <c r="GM883" s="109"/>
      <c r="GN883" s="110"/>
      <c r="GO883" s="109"/>
      <c r="GP883" s="111"/>
      <c r="GQ883" s="109"/>
      <c r="GR883" s="109"/>
      <c r="GS883" s="110"/>
      <c r="GT883" s="109"/>
      <c r="GU883" s="111"/>
      <c r="GV883" s="109"/>
      <c r="GW883" s="109"/>
      <c r="GX883" s="110"/>
      <c r="GY883" s="109"/>
      <c r="GZ883" s="111"/>
      <c r="HA883" s="109"/>
      <c r="HB883" s="109"/>
      <c r="HC883" s="110"/>
      <c r="HD883" s="109"/>
      <c r="HE883" s="111"/>
      <c r="HF883" s="109"/>
      <c r="HG883" s="109"/>
      <c r="HH883" s="110"/>
      <c r="HI883" s="109"/>
      <c r="HJ883" s="111"/>
      <c r="HK883" s="109"/>
      <c r="HL883" s="109"/>
      <c r="HM883" s="110"/>
      <c r="HN883" s="109"/>
      <c r="HO883" s="111"/>
      <c r="HP883" s="109"/>
      <c r="HQ883" s="109"/>
      <c r="HR883" s="110"/>
      <c r="HS883" s="109"/>
      <c r="HT883" s="111"/>
      <c r="HU883" s="109"/>
      <c r="HV883" s="109"/>
      <c r="HW883" s="110"/>
      <c r="HX883" s="109"/>
      <c r="HY883" s="111"/>
      <c r="HZ883" s="109"/>
      <c r="IA883" s="109"/>
      <c r="IB883" s="110"/>
      <c r="IC883" s="109"/>
      <c r="ID883" s="111"/>
      <c r="IE883" s="109"/>
      <c r="IF883" s="109"/>
      <c r="IG883" s="110"/>
      <c r="IH883" s="109"/>
      <c r="II883" s="111"/>
      <c r="IJ883" s="109"/>
      <c r="IK883" s="109"/>
      <c r="IL883" s="110"/>
      <c r="IM883" s="109"/>
      <c r="IN883" s="111"/>
      <c r="IO883" s="109"/>
      <c r="IP883" s="109"/>
      <c r="IQ883" s="110"/>
      <c r="IR883" s="109"/>
      <c r="IS883" s="111"/>
      <c r="IT883" s="109"/>
      <c r="IU883" s="109"/>
      <c r="IV883" s="110"/>
    </row>
    <row r="884" spans="1:256" s="123" customFormat="1" ht="14.25">
      <c r="A884" s="134">
        <v>37138</v>
      </c>
      <c r="B884" s="111">
        <v>57.8247</v>
      </c>
      <c r="C884" s="111">
        <f t="shared" si="14"/>
        <v>0.0578247</v>
      </c>
      <c r="D884" s="111">
        <v>34.6124</v>
      </c>
      <c r="E884" s="111">
        <v>38.153</v>
      </c>
      <c r="F884" s="131"/>
      <c r="G884" s="109"/>
      <c r="H884" s="111"/>
      <c r="I884" s="109"/>
      <c r="J884" s="109"/>
      <c r="K884" s="110"/>
      <c r="L884" s="109"/>
      <c r="M884" s="111"/>
      <c r="N884" s="109"/>
      <c r="O884" s="109"/>
      <c r="P884" s="110"/>
      <c r="Q884" s="109"/>
      <c r="R884" s="111"/>
      <c r="S884" s="109"/>
      <c r="T884" s="109"/>
      <c r="U884" s="110"/>
      <c r="V884" s="109"/>
      <c r="W884" s="111"/>
      <c r="X884" s="109"/>
      <c r="Y884" s="109"/>
      <c r="Z884" s="110"/>
      <c r="AA884" s="109"/>
      <c r="AB884" s="111"/>
      <c r="AC884" s="109"/>
      <c r="AD884" s="109"/>
      <c r="AE884" s="110"/>
      <c r="AF884" s="109"/>
      <c r="AG884" s="111"/>
      <c r="AH884" s="109"/>
      <c r="AI884" s="109"/>
      <c r="AJ884" s="110"/>
      <c r="AK884" s="109"/>
      <c r="AL884" s="111"/>
      <c r="AM884" s="109"/>
      <c r="AN884" s="109"/>
      <c r="AO884" s="110"/>
      <c r="AP884" s="109"/>
      <c r="AQ884" s="111"/>
      <c r="AR884" s="109"/>
      <c r="AS884" s="109"/>
      <c r="AT884" s="110"/>
      <c r="AU884" s="109"/>
      <c r="AV884" s="111"/>
      <c r="AW884" s="109"/>
      <c r="AX884" s="109"/>
      <c r="AY884" s="110"/>
      <c r="AZ884" s="109"/>
      <c r="BA884" s="111"/>
      <c r="BB884" s="109"/>
      <c r="BC884" s="109"/>
      <c r="BD884" s="110"/>
      <c r="BE884" s="109"/>
      <c r="BF884" s="111"/>
      <c r="BG884" s="109"/>
      <c r="BH884" s="109"/>
      <c r="BI884" s="110"/>
      <c r="BJ884" s="109"/>
      <c r="BK884" s="111"/>
      <c r="BL884" s="109"/>
      <c r="BM884" s="109"/>
      <c r="BN884" s="110"/>
      <c r="BO884" s="109"/>
      <c r="BP884" s="111"/>
      <c r="BQ884" s="109"/>
      <c r="BR884" s="109"/>
      <c r="BS884" s="110"/>
      <c r="BT884" s="109"/>
      <c r="BU884" s="111"/>
      <c r="BV884" s="109"/>
      <c r="BW884" s="109"/>
      <c r="BX884" s="110"/>
      <c r="BY884" s="109"/>
      <c r="BZ884" s="111"/>
      <c r="CA884" s="109"/>
      <c r="CB884" s="109"/>
      <c r="CC884" s="110"/>
      <c r="CD884" s="109"/>
      <c r="CE884" s="111"/>
      <c r="CF884" s="109"/>
      <c r="CG884" s="109"/>
      <c r="CH884" s="110"/>
      <c r="CI884" s="109"/>
      <c r="CJ884" s="111"/>
      <c r="CK884" s="109"/>
      <c r="CL884" s="109"/>
      <c r="CM884" s="110"/>
      <c r="CN884" s="109"/>
      <c r="CO884" s="111"/>
      <c r="CP884" s="109"/>
      <c r="CQ884" s="109"/>
      <c r="CR884" s="110"/>
      <c r="CS884" s="109"/>
      <c r="CT884" s="111"/>
      <c r="CU884" s="109"/>
      <c r="CV884" s="109"/>
      <c r="CW884" s="110"/>
      <c r="CX884" s="109"/>
      <c r="CY884" s="111"/>
      <c r="CZ884" s="109"/>
      <c r="DA884" s="109"/>
      <c r="DB884" s="110"/>
      <c r="DC884" s="109"/>
      <c r="DD884" s="111"/>
      <c r="DE884" s="109"/>
      <c r="DF884" s="109"/>
      <c r="DG884" s="110"/>
      <c r="DH884" s="109"/>
      <c r="DI884" s="111"/>
      <c r="DJ884" s="109"/>
      <c r="DK884" s="109"/>
      <c r="DL884" s="110"/>
      <c r="DM884" s="109"/>
      <c r="DN884" s="111"/>
      <c r="DO884" s="109"/>
      <c r="DP884" s="109"/>
      <c r="DQ884" s="110"/>
      <c r="DR884" s="109"/>
      <c r="DS884" s="111"/>
      <c r="DT884" s="109"/>
      <c r="DU884" s="109"/>
      <c r="DV884" s="110"/>
      <c r="DW884" s="109"/>
      <c r="DX884" s="111"/>
      <c r="DY884" s="109"/>
      <c r="DZ884" s="109"/>
      <c r="EA884" s="110"/>
      <c r="EB884" s="109"/>
      <c r="EC884" s="111"/>
      <c r="ED884" s="109"/>
      <c r="EE884" s="109"/>
      <c r="EF884" s="110"/>
      <c r="EG884" s="109"/>
      <c r="EH884" s="111"/>
      <c r="EI884" s="109"/>
      <c r="EJ884" s="109"/>
      <c r="EK884" s="110"/>
      <c r="EL884" s="109"/>
      <c r="EM884" s="111"/>
      <c r="EN884" s="109"/>
      <c r="EO884" s="109"/>
      <c r="EP884" s="110"/>
      <c r="EQ884" s="109"/>
      <c r="ER884" s="111"/>
      <c r="ES884" s="109"/>
      <c r="ET884" s="109"/>
      <c r="EU884" s="110"/>
      <c r="EV884" s="109"/>
      <c r="EW884" s="111"/>
      <c r="EX884" s="109"/>
      <c r="EY884" s="109"/>
      <c r="EZ884" s="110"/>
      <c r="FA884" s="109"/>
      <c r="FB884" s="111"/>
      <c r="FC884" s="109"/>
      <c r="FD884" s="109"/>
      <c r="FE884" s="110"/>
      <c r="FF884" s="109"/>
      <c r="FG884" s="111"/>
      <c r="FH884" s="109"/>
      <c r="FI884" s="109"/>
      <c r="FJ884" s="110"/>
      <c r="FK884" s="109"/>
      <c r="FL884" s="111"/>
      <c r="FM884" s="109"/>
      <c r="FN884" s="109"/>
      <c r="FO884" s="110"/>
      <c r="FP884" s="109"/>
      <c r="FQ884" s="111"/>
      <c r="FR884" s="109"/>
      <c r="FS884" s="109"/>
      <c r="FT884" s="110"/>
      <c r="FU884" s="109"/>
      <c r="FV884" s="111"/>
      <c r="FW884" s="109"/>
      <c r="FX884" s="109"/>
      <c r="FY884" s="110"/>
      <c r="FZ884" s="109"/>
      <c r="GA884" s="111"/>
      <c r="GB884" s="109"/>
      <c r="GC884" s="109"/>
      <c r="GD884" s="110"/>
      <c r="GE884" s="109"/>
      <c r="GF884" s="111"/>
      <c r="GG884" s="109"/>
      <c r="GH884" s="109"/>
      <c r="GI884" s="110"/>
      <c r="GJ884" s="109"/>
      <c r="GK884" s="111"/>
      <c r="GL884" s="109"/>
      <c r="GM884" s="109"/>
      <c r="GN884" s="110"/>
      <c r="GO884" s="109"/>
      <c r="GP884" s="111"/>
      <c r="GQ884" s="109"/>
      <c r="GR884" s="109"/>
      <c r="GS884" s="110"/>
      <c r="GT884" s="109"/>
      <c r="GU884" s="111"/>
      <c r="GV884" s="109"/>
      <c r="GW884" s="109"/>
      <c r="GX884" s="110"/>
      <c r="GY884" s="109"/>
      <c r="GZ884" s="111"/>
      <c r="HA884" s="109"/>
      <c r="HB884" s="109"/>
      <c r="HC884" s="110"/>
      <c r="HD884" s="109"/>
      <c r="HE884" s="111"/>
      <c r="HF884" s="109"/>
      <c r="HG884" s="109"/>
      <c r="HH884" s="110"/>
      <c r="HI884" s="109"/>
      <c r="HJ884" s="111"/>
      <c r="HK884" s="109"/>
      <c r="HL884" s="109"/>
      <c r="HM884" s="110"/>
      <c r="HN884" s="109"/>
      <c r="HO884" s="111"/>
      <c r="HP884" s="109"/>
      <c r="HQ884" s="109"/>
      <c r="HR884" s="110"/>
      <c r="HS884" s="109"/>
      <c r="HT884" s="111"/>
      <c r="HU884" s="109"/>
      <c r="HV884" s="109"/>
      <c r="HW884" s="110"/>
      <c r="HX884" s="109"/>
      <c r="HY884" s="111"/>
      <c r="HZ884" s="109"/>
      <c r="IA884" s="109"/>
      <c r="IB884" s="110"/>
      <c r="IC884" s="109"/>
      <c r="ID884" s="111"/>
      <c r="IE884" s="109"/>
      <c r="IF884" s="109"/>
      <c r="IG884" s="110"/>
      <c r="IH884" s="109"/>
      <c r="II884" s="111"/>
      <c r="IJ884" s="109"/>
      <c r="IK884" s="109"/>
      <c r="IL884" s="110"/>
      <c r="IM884" s="109"/>
      <c r="IN884" s="111"/>
      <c r="IO884" s="109"/>
      <c r="IP884" s="109"/>
      <c r="IQ884" s="110"/>
      <c r="IR884" s="109"/>
      <c r="IS884" s="111"/>
      <c r="IT884" s="109"/>
      <c r="IU884" s="109"/>
      <c r="IV884" s="110"/>
    </row>
    <row r="885" spans="1:256" s="123" customFormat="1" ht="14.25">
      <c r="A885" s="134">
        <v>37139</v>
      </c>
      <c r="B885" s="111">
        <v>53.8824</v>
      </c>
      <c r="C885" s="111">
        <f t="shared" si="14"/>
        <v>0.0538824</v>
      </c>
      <c r="D885" s="111">
        <v>31.9006</v>
      </c>
      <c r="E885" s="111">
        <v>35.5636</v>
      </c>
      <c r="F885" s="131"/>
      <c r="G885" s="109"/>
      <c r="H885" s="111"/>
      <c r="I885" s="109"/>
      <c r="J885" s="109"/>
      <c r="K885" s="110"/>
      <c r="L885" s="109"/>
      <c r="M885" s="111"/>
      <c r="N885" s="109"/>
      <c r="O885" s="109"/>
      <c r="P885" s="110"/>
      <c r="Q885" s="109"/>
      <c r="R885" s="111"/>
      <c r="S885" s="109"/>
      <c r="T885" s="109"/>
      <c r="U885" s="110"/>
      <c r="V885" s="109"/>
      <c r="W885" s="111"/>
      <c r="X885" s="109"/>
      <c r="Y885" s="109"/>
      <c r="Z885" s="110"/>
      <c r="AA885" s="109"/>
      <c r="AB885" s="111"/>
      <c r="AC885" s="109"/>
      <c r="AD885" s="109"/>
      <c r="AE885" s="110"/>
      <c r="AF885" s="109"/>
      <c r="AG885" s="111"/>
      <c r="AH885" s="109"/>
      <c r="AI885" s="109"/>
      <c r="AJ885" s="110"/>
      <c r="AK885" s="109"/>
      <c r="AL885" s="111"/>
      <c r="AM885" s="109"/>
      <c r="AN885" s="109"/>
      <c r="AO885" s="110"/>
      <c r="AP885" s="109"/>
      <c r="AQ885" s="111"/>
      <c r="AR885" s="109"/>
      <c r="AS885" s="109"/>
      <c r="AT885" s="110"/>
      <c r="AU885" s="109"/>
      <c r="AV885" s="111"/>
      <c r="AW885" s="109"/>
      <c r="AX885" s="109"/>
      <c r="AY885" s="110"/>
      <c r="AZ885" s="109"/>
      <c r="BA885" s="111"/>
      <c r="BB885" s="109"/>
      <c r="BC885" s="109"/>
      <c r="BD885" s="110"/>
      <c r="BE885" s="109"/>
      <c r="BF885" s="111"/>
      <c r="BG885" s="109"/>
      <c r="BH885" s="109"/>
      <c r="BI885" s="110"/>
      <c r="BJ885" s="109"/>
      <c r="BK885" s="111"/>
      <c r="BL885" s="109"/>
      <c r="BM885" s="109"/>
      <c r="BN885" s="110"/>
      <c r="BO885" s="109"/>
      <c r="BP885" s="111"/>
      <c r="BQ885" s="109"/>
      <c r="BR885" s="109"/>
      <c r="BS885" s="110"/>
      <c r="BT885" s="109"/>
      <c r="BU885" s="111"/>
      <c r="BV885" s="109"/>
      <c r="BW885" s="109"/>
      <c r="BX885" s="110"/>
      <c r="BY885" s="109"/>
      <c r="BZ885" s="111"/>
      <c r="CA885" s="109"/>
      <c r="CB885" s="109"/>
      <c r="CC885" s="110"/>
      <c r="CD885" s="109"/>
      <c r="CE885" s="111"/>
      <c r="CF885" s="109"/>
      <c r="CG885" s="109"/>
      <c r="CH885" s="110"/>
      <c r="CI885" s="109"/>
      <c r="CJ885" s="111"/>
      <c r="CK885" s="109"/>
      <c r="CL885" s="109"/>
      <c r="CM885" s="110"/>
      <c r="CN885" s="109"/>
      <c r="CO885" s="111"/>
      <c r="CP885" s="109"/>
      <c r="CQ885" s="109"/>
      <c r="CR885" s="110"/>
      <c r="CS885" s="109"/>
      <c r="CT885" s="111"/>
      <c r="CU885" s="109"/>
      <c r="CV885" s="109"/>
      <c r="CW885" s="110"/>
      <c r="CX885" s="109"/>
      <c r="CY885" s="111"/>
      <c r="CZ885" s="109"/>
      <c r="DA885" s="109"/>
      <c r="DB885" s="110"/>
      <c r="DC885" s="109"/>
      <c r="DD885" s="111"/>
      <c r="DE885" s="109"/>
      <c r="DF885" s="109"/>
      <c r="DG885" s="110"/>
      <c r="DH885" s="109"/>
      <c r="DI885" s="111"/>
      <c r="DJ885" s="109"/>
      <c r="DK885" s="109"/>
      <c r="DL885" s="110"/>
      <c r="DM885" s="109"/>
      <c r="DN885" s="111"/>
      <c r="DO885" s="109"/>
      <c r="DP885" s="109"/>
      <c r="DQ885" s="110"/>
      <c r="DR885" s="109"/>
      <c r="DS885" s="111"/>
      <c r="DT885" s="109"/>
      <c r="DU885" s="109"/>
      <c r="DV885" s="110"/>
      <c r="DW885" s="109"/>
      <c r="DX885" s="111"/>
      <c r="DY885" s="109"/>
      <c r="DZ885" s="109"/>
      <c r="EA885" s="110"/>
      <c r="EB885" s="109"/>
      <c r="EC885" s="111"/>
      <c r="ED885" s="109"/>
      <c r="EE885" s="109"/>
      <c r="EF885" s="110"/>
      <c r="EG885" s="109"/>
      <c r="EH885" s="111"/>
      <c r="EI885" s="109"/>
      <c r="EJ885" s="109"/>
      <c r="EK885" s="110"/>
      <c r="EL885" s="109"/>
      <c r="EM885" s="111"/>
      <c r="EN885" s="109"/>
      <c r="EO885" s="109"/>
      <c r="EP885" s="110"/>
      <c r="EQ885" s="109"/>
      <c r="ER885" s="111"/>
      <c r="ES885" s="109"/>
      <c r="ET885" s="109"/>
      <c r="EU885" s="110"/>
      <c r="EV885" s="109"/>
      <c r="EW885" s="111"/>
      <c r="EX885" s="109"/>
      <c r="EY885" s="109"/>
      <c r="EZ885" s="110"/>
      <c r="FA885" s="109"/>
      <c r="FB885" s="111"/>
      <c r="FC885" s="109"/>
      <c r="FD885" s="109"/>
      <c r="FE885" s="110"/>
      <c r="FF885" s="109"/>
      <c r="FG885" s="111"/>
      <c r="FH885" s="109"/>
      <c r="FI885" s="109"/>
      <c r="FJ885" s="110"/>
      <c r="FK885" s="109"/>
      <c r="FL885" s="111"/>
      <c r="FM885" s="109"/>
      <c r="FN885" s="109"/>
      <c r="FO885" s="110"/>
      <c r="FP885" s="109"/>
      <c r="FQ885" s="111"/>
      <c r="FR885" s="109"/>
      <c r="FS885" s="109"/>
      <c r="FT885" s="110"/>
      <c r="FU885" s="109"/>
      <c r="FV885" s="111"/>
      <c r="FW885" s="109"/>
      <c r="FX885" s="109"/>
      <c r="FY885" s="110"/>
      <c r="FZ885" s="109"/>
      <c r="GA885" s="111"/>
      <c r="GB885" s="109"/>
      <c r="GC885" s="109"/>
      <c r="GD885" s="110"/>
      <c r="GE885" s="109"/>
      <c r="GF885" s="111"/>
      <c r="GG885" s="109"/>
      <c r="GH885" s="109"/>
      <c r="GI885" s="110"/>
      <c r="GJ885" s="109"/>
      <c r="GK885" s="111"/>
      <c r="GL885" s="109"/>
      <c r="GM885" s="109"/>
      <c r="GN885" s="110"/>
      <c r="GO885" s="109"/>
      <c r="GP885" s="111"/>
      <c r="GQ885" s="109"/>
      <c r="GR885" s="109"/>
      <c r="GS885" s="110"/>
      <c r="GT885" s="109"/>
      <c r="GU885" s="111"/>
      <c r="GV885" s="109"/>
      <c r="GW885" s="109"/>
      <c r="GX885" s="110"/>
      <c r="GY885" s="109"/>
      <c r="GZ885" s="111"/>
      <c r="HA885" s="109"/>
      <c r="HB885" s="109"/>
      <c r="HC885" s="110"/>
      <c r="HD885" s="109"/>
      <c r="HE885" s="111"/>
      <c r="HF885" s="109"/>
      <c r="HG885" s="109"/>
      <c r="HH885" s="110"/>
      <c r="HI885" s="109"/>
      <c r="HJ885" s="111"/>
      <c r="HK885" s="109"/>
      <c r="HL885" s="109"/>
      <c r="HM885" s="110"/>
      <c r="HN885" s="109"/>
      <c r="HO885" s="111"/>
      <c r="HP885" s="109"/>
      <c r="HQ885" s="109"/>
      <c r="HR885" s="110"/>
      <c r="HS885" s="109"/>
      <c r="HT885" s="111"/>
      <c r="HU885" s="109"/>
      <c r="HV885" s="109"/>
      <c r="HW885" s="110"/>
      <c r="HX885" s="109"/>
      <c r="HY885" s="111"/>
      <c r="HZ885" s="109"/>
      <c r="IA885" s="109"/>
      <c r="IB885" s="110"/>
      <c r="IC885" s="109"/>
      <c r="ID885" s="111"/>
      <c r="IE885" s="109"/>
      <c r="IF885" s="109"/>
      <c r="IG885" s="110"/>
      <c r="IH885" s="109"/>
      <c r="II885" s="111"/>
      <c r="IJ885" s="109"/>
      <c r="IK885" s="109"/>
      <c r="IL885" s="110"/>
      <c r="IM885" s="109"/>
      <c r="IN885" s="111"/>
      <c r="IO885" s="109"/>
      <c r="IP885" s="109"/>
      <c r="IQ885" s="110"/>
      <c r="IR885" s="109"/>
      <c r="IS885" s="111"/>
      <c r="IT885" s="109"/>
      <c r="IU885" s="109"/>
      <c r="IV885" s="110"/>
    </row>
    <row r="886" spans="1:256" s="123" customFormat="1" ht="14.25">
      <c r="A886" s="134">
        <v>37140</v>
      </c>
      <c r="B886" s="111">
        <v>50.0095</v>
      </c>
      <c r="C886" s="111">
        <f t="shared" si="14"/>
        <v>0.050009500000000005</v>
      </c>
      <c r="D886" s="111">
        <v>29.444</v>
      </c>
      <c r="E886" s="111">
        <v>33.1167</v>
      </c>
      <c r="F886" s="131"/>
      <c r="G886" s="109"/>
      <c r="H886" s="111"/>
      <c r="I886" s="109"/>
      <c r="J886" s="109"/>
      <c r="K886" s="110"/>
      <c r="L886" s="109"/>
      <c r="M886" s="111"/>
      <c r="N886" s="109"/>
      <c r="O886" s="109"/>
      <c r="P886" s="110"/>
      <c r="Q886" s="109"/>
      <c r="R886" s="111"/>
      <c r="S886" s="109"/>
      <c r="T886" s="109"/>
      <c r="U886" s="110"/>
      <c r="V886" s="109"/>
      <c r="W886" s="111"/>
      <c r="X886" s="109"/>
      <c r="Y886" s="109"/>
      <c r="Z886" s="110"/>
      <c r="AA886" s="109"/>
      <c r="AB886" s="111"/>
      <c r="AC886" s="109"/>
      <c r="AD886" s="109"/>
      <c r="AE886" s="110"/>
      <c r="AF886" s="109"/>
      <c r="AG886" s="111"/>
      <c r="AH886" s="109"/>
      <c r="AI886" s="109"/>
      <c r="AJ886" s="110"/>
      <c r="AK886" s="109"/>
      <c r="AL886" s="111"/>
      <c r="AM886" s="109"/>
      <c r="AN886" s="109"/>
      <c r="AO886" s="110"/>
      <c r="AP886" s="109"/>
      <c r="AQ886" s="111"/>
      <c r="AR886" s="109"/>
      <c r="AS886" s="109"/>
      <c r="AT886" s="110"/>
      <c r="AU886" s="109"/>
      <c r="AV886" s="111"/>
      <c r="AW886" s="109"/>
      <c r="AX886" s="109"/>
      <c r="AY886" s="110"/>
      <c r="AZ886" s="109"/>
      <c r="BA886" s="111"/>
      <c r="BB886" s="109"/>
      <c r="BC886" s="109"/>
      <c r="BD886" s="110"/>
      <c r="BE886" s="109"/>
      <c r="BF886" s="111"/>
      <c r="BG886" s="109"/>
      <c r="BH886" s="109"/>
      <c r="BI886" s="110"/>
      <c r="BJ886" s="109"/>
      <c r="BK886" s="111"/>
      <c r="BL886" s="109"/>
      <c r="BM886" s="109"/>
      <c r="BN886" s="110"/>
      <c r="BO886" s="109"/>
      <c r="BP886" s="111"/>
      <c r="BQ886" s="109"/>
      <c r="BR886" s="109"/>
      <c r="BS886" s="110"/>
      <c r="BT886" s="109"/>
      <c r="BU886" s="111"/>
      <c r="BV886" s="109"/>
      <c r="BW886" s="109"/>
      <c r="BX886" s="110"/>
      <c r="BY886" s="109"/>
      <c r="BZ886" s="111"/>
      <c r="CA886" s="109"/>
      <c r="CB886" s="109"/>
      <c r="CC886" s="110"/>
      <c r="CD886" s="109"/>
      <c r="CE886" s="111"/>
      <c r="CF886" s="109"/>
      <c r="CG886" s="109"/>
      <c r="CH886" s="110"/>
      <c r="CI886" s="109"/>
      <c r="CJ886" s="111"/>
      <c r="CK886" s="109"/>
      <c r="CL886" s="109"/>
      <c r="CM886" s="110"/>
      <c r="CN886" s="109"/>
      <c r="CO886" s="111"/>
      <c r="CP886" s="109"/>
      <c r="CQ886" s="109"/>
      <c r="CR886" s="110"/>
      <c r="CS886" s="109"/>
      <c r="CT886" s="111"/>
      <c r="CU886" s="109"/>
      <c r="CV886" s="109"/>
      <c r="CW886" s="110"/>
      <c r="CX886" s="109"/>
      <c r="CY886" s="111"/>
      <c r="CZ886" s="109"/>
      <c r="DA886" s="109"/>
      <c r="DB886" s="110"/>
      <c r="DC886" s="109"/>
      <c r="DD886" s="111"/>
      <c r="DE886" s="109"/>
      <c r="DF886" s="109"/>
      <c r="DG886" s="110"/>
      <c r="DH886" s="109"/>
      <c r="DI886" s="111"/>
      <c r="DJ886" s="109"/>
      <c r="DK886" s="109"/>
      <c r="DL886" s="110"/>
      <c r="DM886" s="109"/>
      <c r="DN886" s="111"/>
      <c r="DO886" s="109"/>
      <c r="DP886" s="109"/>
      <c r="DQ886" s="110"/>
      <c r="DR886" s="109"/>
      <c r="DS886" s="111"/>
      <c r="DT886" s="109"/>
      <c r="DU886" s="109"/>
      <c r="DV886" s="110"/>
      <c r="DW886" s="109"/>
      <c r="DX886" s="111"/>
      <c r="DY886" s="109"/>
      <c r="DZ886" s="109"/>
      <c r="EA886" s="110"/>
      <c r="EB886" s="109"/>
      <c r="EC886" s="111"/>
      <c r="ED886" s="109"/>
      <c r="EE886" s="109"/>
      <c r="EF886" s="110"/>
      <c r="EG886" s="109"/>
      <c r="EH886" s="111"/>
      <c r="EI886" s="109"/>
      <c r="EJ886" s="109"/>
      <c r="EK886" s="110"/>
      <c r="EL886" s="109"/>
      <c r="EM886" s="111"/>
      <c r="EN886" s="109"/>
      <c r="EO886" s="109"/>
      <c r="EP886" s="110"/>
      <c r="EQ886" s="109"/>
      <c r="ER886" s="111"/>
      <c r="ES886" s="109"/>
      <c r="ET886" s="109"/>
      <c r="EU886" s="110"/>
      <c r="EV886" s="109"/>
      <c r="EW886" s="111"/>
      <c r="EX886" s="109"/>
      <c r="EY886" s="109"/>
      <c r="EZ886" s="110"/>
      <c r="FA886" s="109"/>
      <c r="FB886" s="111"/>
      <c r="FC886" s="109"/>
      <c r="FD886" s="109"/>
      <c r="FE886" s="110"/>
      <c r="FF886" s="109"/>
      <c r="FG886" s="111"/>
      <c r="FH886" s="109"/>
      <c r="FI886" s="109"/>
      <c r="FJ886" s="110"/>
      <c r="FK886" s="109"/>
      <c r="FL886" s="111"/>
      <c r="FM886" s="109"/>
      <c r="FN886" s="109"/>
      <c r="FO886" s="110"/>
      <c r="FP886" s="109"/>
      <c r="FQ886" s="111"/>
      <c r="FR886" s="109"/>
      <c r="FS886" s="109"/>
      <c r="FT886" s="110"/>
      <c r="FU886" s="109"/>
      <c r="FV886" s="111"/>
      <c r="FW886" s="109"/>
      <c r="FX886" s="109"/>
      <c r="FY886" s="110"/>
      <c r="FZ886" s="109"/>
      <c r="GA886" s="111"/>
      <c r="GB886" s="109"/>
      <c r="GC886" s="109"/>
      <c r="GD886" s="110"/>
      <c r="GE886" s="109"/>
      <c r="GF886" s="111"/>
      <c r="GG886" s="109"/>
      <c r="GH886" s="109"/>
      <c r="GI886" s="110"/>
      <c r="GJ886" s="109"/>
      <c r="GK886" s="111"/>
      <c r="GL886" s="109"/>
      <c r="GM886" s="109"/>
      <c r="GN886" s="110"/>
      <c r="GO886" s="109"/>
      <c r="GP886" s="111"/>
      <c r="GQ886" s="109"/>
      <c r="GR886" s="109"/>
      <c r="GS886" s="110"/>
      <c r="GT886" s="109"/>
      <c r="GU886" s="111"/>
      <c r="GV886" s="109"/>
      <c r="GW886" s="109"/>
      <c r="GX886" s="110"/>
      <c r="GY886" s="109"/>
      <c r="GZ886" s="111"/>
      <c r="HA886" s="109"/>
      <c r="HB886" s="109"/>
      <c r="HC886" s="110"/>
      <c r="HD886" s="109"/>
      <c r="HE886" s="111"/>
      <c r="HF886" s="109"/>
      <c r="HG886" s="109"/>
      <c r="HH886" s="110"/>
      <c r="HI886" s="109"/>
      <c r="HJ886" s="111"/>
      <c r="HK886" s="109"/>
      <c r="HL886" s="109"/>
      <c r="HM886" s="110"/>
      <c r="HN886" s="109"/>
      <c r="HO886" s="111"/>
      <c r="HP886" s="109"/>
      <c r="HQ886" s="109"/>
      <c r="HR886" s="110"/>
      <c r="HS886" s="109"/>
      <c r="HT886" s="111"/>
      <c r="HU886" s="109"/>
      <c r="HV886" s="109"/>
      <c r="HW886" s="110"/>
      <c r="HX886" s="109"/>
      <c r="HY886" s="111"/>
      <c r="HZ886" s="109"/>
      <c r="IA886" s="109"/>
      <c r="IB886" s="110"/>
      <c r="IC886" s="109"/>
      <c r="ID886" s="111"/>
      <c r="IE886" s="109"/>
      <c r="IF886" s="109"/>
      <c r="IG886" s="110"/>
      <c r="IH886" s="109"/>
      <c r="II886" s="111"/>
      <c r="IJ886" s="109"/>
      <c r="IK886" s="109"/>
      <c r="IL886" s="110"/>
      <c r="IM886" s="109"/>
      <c r="IN886" s="111"/>
      <c r="IO886" s="109"/>
      <c r="IP886" s="109"/>
      <c r="IQ886" s="110"/>
      <c r="IR886" s="109"/>
      <c r="IS886" s="111"/>
      <c r="IT886" s="109"/>
      <c r="IU886" s="109"/>
      <c r="IV886" s="110"/>
    </row>
    <row r="887" spans="1:256" s="123" customFormat="1" ht="14.25">
      <c r="A887" s="134">
        <v>37141</v>
      </c>
      <c r="B887" s="111">
        <v>51.7704</v>
      </c>
      <c r="C887" s="111">
        <f t="shared" si="14"/>
        <v>0.0517704</v>
      </c>
      <c r="D887" s="111">
        <v>30.3293</v>
      </c>
      <c r="E887" s="111">
        <v>34.251</v>
      </c>
      <c r="F887" s="131"/>
      <c r="G887" s="109"/>
      <c r="H887" s="111"/>
      <c r="I887" s="109"/>
      <c r="J887" s="109"/>
      <c r="K887" s="110"/>
      <c r="L887" s="109"/>
      <c r="M887" s="111"/>
      <c r="N887" s="109"/>
      <c r="O887" s="109"/>
      <c r="P887" s="110"/>
      <c r="Q887" s="109"/>
      <c r="R887" s="111"/>
      <c r="S887" s="109"/>
      <c r="T887" s="109"/>
      <c r="U887" s="110"/>
      <c r="V887" s="109"/>
      <c r="W887" s="111"/>
      <c r="X887" s="109"/>
      <c r="Y887" s="109"/>
      <c r="Z887" s="110"/>
      <c r="AA887" s="109"/>
      <c r="AB887" s="111"/>
      <c r="AC887" s="109"/>
      <c r="AD887" s="109"/>
      <c r="AE887" s="110"/>
      <c r="AF887" s="109"/>
      <c r="AG887" s="111"/>
      <c r="AH887" s="109"/>
      <c r="AI887" s="109"/>
      <c r="AJ887" s="110"/>
      <c r="AK887" s="109"/>
      <c r="AL887" s="111"/>
      <c r="AM887" s="109"/>
      <c r="AN887" s="109"/>
      <c r="AO887" s="110"/>
      <c r="AP887" s="109"/>
      <c r="AQ887" s="111"/>
      <c r="AR887" s="109"/>
      <c r="AS887" s="109"/>
      <c r="AT887" s="110"/>
      <c r="AU887" s="109"/>
      <c r="AV887" s="111"/>
      <c r="AW887" s="109"/>
      <c r="AX887" s="109"/>
      <c r="AY887" s="110"/>
      <c r="AZ887" s="109"/>
      <c r="BA887" s="111"/>
      <c r="BB887" s="109"/>
      <c r="BC887" s="109"/>
      <c r="BD887" s="110"/>
      <c r="BE887" s="109"/>
      <c r="BF887" s="111"/>
      <c r="BG887" s="109"/>
      <c r="BH887" s="109"/>
      <c r="BI887" s="110"/>
      <c r="BJ887" s="109"/>
      <c r="BK887" s="111"/>
      <c r="BL887" s="109"/>
      <c r="BM887" s="109"/>
      <c r="BN887" s="110"/>
      <c r="BO887" s="109"/>
      <c r="BP887" s="111"/>
      <c r="BQ887" s="109"/>
      <c r="BR887" s="109"/>
      <c r="BS887" s="110"/>
      <c r="BT887" s="109"/>
      <c r="BU887" s="111"/>
      <c r="BV887" s="109"/>
      <c r="BW887" s="109"/>
      <c r="BX887" s="110"/>
      <c r="BY887" s="109"/>
      <c r="BZ887" s="111"/>
      <c r="CA887" s="109"/>
      <c r="CB887" s="109"/>
      <c r="CC887" s="110"/>
      <c r="CD887" s="109"/>
      <c r="CE887" s="111"/>
      <c r="CF887" s="109"/>
      <c r="CG887" s="109"/>
      <c r="CH887" s="110"/>
      <c r="CI887" s="109"/>
      <c r="CJ887" s="111"/>
      <c r="CK887" s="109"/>
      <c r="CL887" s="109"/>
      <c r="CM887" s="110"/>
      <c r="CN887" s="109"/>
      <c r="CO887" s="111"/>
      <c r="CP887" s="109"/>
      <c r="CQ887" s="109"/>
      <c r="CR887" s="110"/>
      <c r="CS887" s="109"/>
      <c r="CT887" s="111"/>
      <c r="CU887" s="109"/>
      <c r="CV887" s="109"/>
      <c r="CW887" s="110"/>
      <c r="CX887" s="109"/>
      <c r="CY887" s="111"/>
      <c r="CZ887" s="109"/>
      <c r="DA887" s="109"/>
      <c r="DB887" s="110"/>
      <c r="DC887" s="109"/>
      <c r="DD887" s="111"/>
      <c r="DE887" s="109"/>
      <c r="DF887" s="109"/>
      <c r="DG887" s="110"/>
      <c r="DH887" s="109"/>
      <c r="DI887" s="111"/>
      <c r="DJ887" s="109"/>
      <c r="DK887" s="109"/>
      <c r="DL887" s="110"/>
      <c r="DM887" s="109"/>
      <c r="DN887" s="111"/>
      <c r="DO887" s="109"/>
      <c r="DP887" s="109"/>
      <c r="DQ887" s="110"/>
      <c r="DR887" s="109"/>
      <c r="DS887" s="111"/>
      <c r="DT887" s="109"/>
      <c r="DU887" s="109"/>
      <c r="DV887" s="110"/>
      <c r="DW887" s="109"/>
      <c r="DX887" s="111"/>
      <c r="DY887" s="109"/>
      <c r="DZ887" s="109"/>
      <c r="EA887" s="110"/>
      <c r="EB887" s="109"/>
      <c r="EC887" s="111"/>
      <c r="ED887" s="109"/>
      <c r="EE887" s="109"/>
      <c r="EF887" s="110"/>
      <c r="EG887" s="109"/>
      <c r="EH887" s="111"/>
      <c r="EI887" s="109"/>
      <c r="EJ887" s="109"/>
      <c r="EK887" s="110"/>
      <c r="EL887" s="109"/>
      <c r="EM887" s="111"/>
      <c r="EN887" s="109"/>
      <c r="EO887" s="109"/>
      <c r="EP887" s="110"/>
      <c r="EQ887" s="109"/>
      <c r="ER887" s="111"/>
      <c r="ES887" s="109"/>
      <c r="ET887" s="109"/>
      <c r="EU887" s="110"/>
      <c r="EV887" s="109"/>
      <c r="EW887" s="111"/>
      <c r="EX887" s="109"/>
      <c r="EY887" s="109"/>
      <c r="EZ887" s="110"/>
      <c r="FA887" s="109"/>
      <c r="FB887" s="111"/>
      <c r="FC887" s="109"/>
      <c r="FD887" s="109"/>
      <c r="FE887" s="110"/>
      <c r="FF887" s="109"/>
      <c r="FG887" s="111"/>
      <c r="FH887" s="109"/>
      <c r="FI887" s="109"/>
      <c r="FJ887" s="110"/>
      <c r="FK887" s="109"/>
      <c r="FL887" s="111"/>
      <c r="FM887" s="109"/>
      <c r="FN887" s="109"/>
      <c r="FO887" s="110"/>
      <c r="FP887" s="109"/>
      <c r="FQ887" s="111"/>
      <c r="FR887" s="109"/>
      <c r="FS887" s="109"/>
      <c r="FT887" s="110"/>
      <c r="FU887" s="109"/>
      <c r="FV887" s="111"/>
      <c r="FW887" s="109"/>
      <c r="FX887" s="109"/>
      <c r="FY887" s="110"/>
      <c r="FZ887" s="109"/>
      <c r="GA887" s="111"/>
      <c r="GB887" s="109"/>
      <c r="GC887" s="109"/>
      <c r="GD887" s="110"/>
      <c r="GE887" s="109"/>
      <c r="GF887" s="111"/>
      <c r="GG887" s="109"/>
      <c r="GH887" s="109"/>
      <c r="GI887" s="110"/>
      <c r="GJ887" s="109"/>
      <c r="GK887" s="111"/>
      <c r="GL887" s="109"/>
      <c r="GM887" s="109"/>
      <c r="GN887" s="110"/>
      <c r="GO887" s="109"/>
      <c r="GP887" s="111"/>
      <c r="GQ887" s="109"/>
      <c r="GR887" s="109"/>
      <c r="GS887" s="110"/>
      <c r="GT887" s="109"/>
      <c r="GU887" s="111"/>
      <c r="GV887" s="109"/>
      <c r="GW887" s="109"/>
      <c r="GX887" s="110"/>
      <c r="GY887" s="109"/>
      <c r="GZ887" s="111"/>
      <c r="HA887" s="109"/>
      <c r="HB887" s="109"/>
      <c r="HC887" s="110"/>
      <c r="HD887" s="109"/>
      <c r="HE887" s="111"/>
      <c r="HF887" s="109"/>
      <c r="HG887" s="109"/>
      <c r="HH887" s="110"/>
      <c r="HI887" s="109"/>
      <c r="HJ887" s="111"/>
      <c r="HK887" s="109"/>
      <c r="HL887" s="109"/>
      <c r="HM887" s="110"/>
      <c r="HN887" s="109"/>
      <c r="HO887" s="111"/>
      <c r="HP887" s="109"/>
      <c r="HQ887" s="109"/>
      <c r="HR887" s="110"/>
      <c r="HS887" s="109"/>
      <c r="HT887" s="111"/>
      <c r="HU887" s="109"/>
      <c r="HV887" s="109"/>
      <c r="HW887" s="110"/>
      <c r="HX887" s="109"/>
      <c r="HY887" s="111"/>
      <c r="HZ887" s="109"/>
      <c r="IA887" s="109"/>
      <c r="IB887" s="110"/>
      <c r="IC887" s="109"/>
      <c r="ID887" s="111"/>
      <c r="IE887" s="109"/>
      <c r="IF887" s="109"/>
      <c r="IG887" s="110"/>
      <c r="IH887" s="109"/>
      <c r="II887" s="111"/>
      <c r="IJ887" s="109"/>
      <c r="IK887" s="109"/>
      <c r="IL887" s="110"/>
      <c r="IM887" s="109"/>
      <c r="IN887" s="111"/>
      <c r="IO887" s="109"/>
      <c r="IP887" s="109"/>
      <c r="IQ887" s="110"/>
      <c r="IR887" s="109"/>
      <c r="IS887" s="111"/>
      <c r="IT887" s="109"/>
      <c r="IU887" s="109"/>
      <c r="IV887" s="110"/>
    </row>
    <row r="888" spans="1:256" s="123" customFormat="1" ht="14.25">
      <c r="A888" s="134">
        <v>37144</v>
      </c>
      <c r="B888" s="111">
        <v>52.0309</v>
      </c>
      <c r="C888" s="111">
        <f t="shared" si="14"/>
        <v>0.052030900000000005</v>
      </c>
      <c r="D888" s="111">
        <v>30.8096</v>
      </c>
      <c r="E888" s="111">
        <v>34.4165</v>
      </c>
      <c r="F888" s="131"/>
      <c r="G888" s="109"/>
      <c r="H888" s="111"/>
      <c r="I888" s="109"/>
      <c r="J888" s="109"/>
      <c r="K888" s="110"/>
      <c r="L888" s="109"/>
      <c r="M888" s="111"/>
      <c r="N888" s="109"/>
      <c r="O888" s="109"/>
      <c r="P888" s="110"/>
      <c r="Q888" s="109"/>
      <c r="R888" s="111"/>
      <c r="S888" s="109"/>
      <c r="T888" s="109"/>
      <c r="U888" s="110"/>
      <c r="V888" s="109"/>
      <c r="W888" s="111"/>
      <c r="X888" s="109"/>
      <c r="Y888" s="109"/>
      <c r="Z888" s="110"/>
      <c r="AA888" s="109"/>
      <c r="AB888" s="111"/>
      <c r="AC888" s="109"/>
      <c r="AD888" s="109"/>
      <c r="AE888" s="110"/>
      <c r="AF888" s="109"/>
      <c r="AG888" s="111"/>
      <c r="AH888" s="109"/>
      <c r="AI888" s="109"/>
      <c r="AJ888" s="110"/>
      <c r="AK888" s="109"/>
      <c r="AL888" s="111"/>
      <c r="AM888" s="109"/>
      <c r="AN888" s="109"/>
      <c r="AO888" s="110"/>
      <c r="AP888" s="109"/>
      <c r="AQ888" s="111"/>
      <c r="AR888" s="109"/>
      <c r="AS888" s="109"/>
      <c r="AT888" s="110"/>
      <c r="AU888" s="109"/>
      <c r="AV888" s="111"/>
      <c r="AW888" s="109"/>
      <c r="AX888" s="109"/>
      <c r="AY888" s="110"/>
      <c r="AZ888" s="109"/>
      <c r="BA888" s="111"/>
      <c r="BB888" s="109"/>
      <c r="BC888" s="109"/>
      <c r="BD888" s="110"/>
      <c r="BE888" s="109"/>
      <c r="BF888" s="111"/>
      <c r="BG888" s="109"/>
      <c r="BH888" s="109"/>
      <c r="BI888" s="110"/>
      <c r="BJ888" s="109"/>
      <c r="BK888" s="111"/>
      <c r="BL888" s="109"/>
      <c r="BM888" s="109"/>
      <c r="BN888" s="110"/>
      <c r="BO888" s="109"/>
      <c r="BP888" s="111"/>
      <c r="BQ888" s="109"/>
      <c r="BR888" s="109"/>
      <c r="BS888" s="110"/>
      <c r="BT888" s="109"/>
      <c r="BU888" s="111"/>
      <c r="BV888" s="109"/>
      <c r="BW888" s="109"/>
      <c r="BX888" s="110"/>
      <c r="BY888" s="109"/>
      <c r="BZ888" s="111"/>
      <c r="CA888" s="109"/>
      <c r="CB888" s="109"/>
      <c r="CC888" s="110"/>
      <c r="CD888" s="109"/>
      <c r="CE888" s="111"/>
      <c r="CF888" s="109"/>
      <c r="CG888" s="109"/>
      <c r="CH888" s="110"/>
      <c r="CI888" s="109"/>
      <c r="CJ888" s="111"/>
      <c r="CK888" s="109"/>
      <c r="CL888" s="109"/>
      <c r="CM888" s="110"/>
      <c r="CN888" s="109"/>
      <c r="CO888" s="111"/>
      <c r="CP888" s="109"/>
      <c r="CQ888" s="109"/>
      <c r="CR888" s="110"/>
      <c r="CS888" s="109"/>
      <c r="CT888" s="111"/>
      <c r="CU888" s="109"/>
      <c r="CV888" s="109"/>
      <c r="CW888" s="110"/>
      <c r="CX888" s="109"/>
      <c r="CY888" s="111"/>
      <c r="CZ888" s="109"/>
      <c r="DA888" s="109"/>
      <c r="DB888" s="110"/>
      <c r="DC888" s="109"/>
      <c r="DD888" s="111"/>
      <c r="DE888" s="109"/>
      <c r="DF888" s="109"/>
      <c r="DG888" s="110"/>
      <c r="DH888" s="109"/>
      <c r="DI888" s="111"/>
      <c r="DJ888" s="109"/>
      <c r="DK888" s="109"/>
      <c r="DL888" s="110"/>
      <c r="DM888" s="109"/>
      <c r="DN888" s="111"/>
      <c r="DO888" s="109"/>
      <c r="DP888" s="109"/>
      <c r="DQ888" s="110"/>
      <c r="DR888" s="109"/>
      <c r="DS888" s="111"/>
      <c r="DT888" s="109"/>
      <c r="DU888" s="109"/>
      <c r="DV888" s="110"/>
      <c r="DW888" s="109"/>
      <c r="DX888" s="111"/>
      <c r="DY888" s="109"/>
      <c r="DZ888" s="109"/>
      <c r="EA888" s="110"/>
      <c r="EB888" s="109"/>
      <c r="EC888" s="111"/>
      <c r="ED888" s="109"/>
      <c r="EE888" s="109"/>
      <c r="EF888" s="110"/>
      <c r="EG888" s="109"/>
      <c r="EH888" s="111"/>
      <c r="EI888" s="109"/>
      <c r="EJ888" s="109"/>
      <c r="EK888" s="110"/>
      <c r="EL888" s="109"/>
      <c r="EM888" s="111"/>
      <c r="EN888" s="109"/>
      <c r="EO888" s="109"/>
      <c r="EP888" s="110"/>
      <c r="EQ888" s="109"/>
      <c r="ER888" s="111"/>
      <c r="ES888" s="109"/>
      <c r="ET888" s="109"/>
      <c r="EU888" s="110"/>
      <c r="EV888" s="109"/>
      <c r="EW888" s="111"/>
      <c r="EX888" s="109"/>
      <c r="EY888" s="109"/>
      <c r="EZ888" s="110"/>
      <c r="FA888" s="109"/>
      <c r="FB888" s="111"/>
      <c r="FC888" s="109"/>
      <c r="FD888" s="109"/>
      <c r="FE888" s="110"/>
      <c r="FF888" s="109"/>
      <c r="FG888" s="111"/>
      <c r="FH888" s="109"/>
      <c r="FI888" s="109"/>
      <c r="FJ888" s="110"/>
      <c r="FK888" s="109"/>
      <c r="FL888" s="111"/>
      <c r="FM888" s="109"/>
      <c r="FN888" s="109"/>
      <c r="FO888" s="110"/>
      <c r="FP888" s="109"/>
      <c r="FQ888" s="111"/>
      <c r="FR888" s="109"/>
      <c r="FS888" s="109"/>
      <c r="FT888" s="110"/>
      <c r="FU888" s="109"/>
      <c r="FV888" s="111"/>
      <c r="FW888" s="109"/>
      <c r="FX888" s="109"/>
      <c r="FY888" s="110"/>
      <c r="FZ888" s="109"/>
      <c r="GA888" s="111"/>
      <c r="GB888" s="109"/>
      <c r="GC888" s="109"/>
      <c r="GD888" s="110"/>
      <c r="GE888" s="109"/>
      <c r="GF888" s="111"/>
      <c r="GG888" s="109"/>
      <c r="GH888" s="109"/>
      <c r="GI888" s="110"/>
      <c r="GJ888" s="109"/>
      <c r="GK888" s="111"/>
      <c r="GL888" s="109"/>
      <c r="GM888" s="109"/>
      <c r="GN888" s="110"/>
      <c r="GO888" s="109"/>
      <c r="GP888" s="111"/>
      <c r="GQ888" s="109"/>
      <c r="GR888" s="109"/>
      <c r="GS888" s="110"/>
      <c r="GT888" s="109"/>
      <c r="GU888" s="111"/>
      <c r="GV888" s="109"/>
      <c r="GW888" s="109"/>
      <c r="GX888" s="110"/>
      <c r="GY888" s="109"/>
      <c r="GZ888" s="111"/>
      <c r="HA888" s="109"/>
      <c r="HB888" s="109"/>
      <c r="HC888" s="110"/>
      <c r="HD888" s="109"/>
      <c r="HE888" s="111"/>
      <c r="HF888" s="109"/>
      <c r="HG888" s="109"/>
      <c r="HH888" s="110"/>
      <c r="HI888" s="109"/>
      <c r="HJ888" s="111"/>
      <c r="HK888" s="109"/>
      <c r="HL888" s="109"/>
      <c r="HM888" s="110"/>
      <c r="HN888" s="109"/>
      <c r="HO888" s="111"/>
      <c r="HP888" s="109"/>
      <c r="HQ888" s="109"/>
      <c r="HR888" s="110"/>
      <c r="HS888" s="109"/>
      <c r="HT888" s="111"/>
      <c r="HU888" s="109"/>
      <c r="HV888" s="109"/>
      <c r="HW888" s="110"/>
      <c r="HX888" s="109"/>
      <c r="HY888" s="111"/>
      <c r="HZ888" s="109"/>
      <c r="IA888" s="109"/>
      <c r="IB888" s="110"/>
      <c r="IC888" s="109"/>
      <c r="ID888" s="111"/>
      <c r="IE888" s="109"/>
      <c r="IF888" s="109"/>
      <c r="IG888" s="110"/>
      <c r="IH888" s="109"/>
      <c r="II888" s="111"/>
      <c r="IJ888" s="109"/>
      <c r="IK888" s="109"/>
      <c r="IL888" s="110"/>
      <c r="IM888" s="109"/>
      <c r="IN888" s="111"/>
      <c r="IO888" s="109"/>
      <c r="IP888" s="109"/>
      <c r="IQ888" s="110"/>
      <c r="IR888" s="109"/>
      <c r="IS888" s="111"/>
      <c r="IT888" s="109"/>
      <c r="IU888" s="109"/>
      <c r="IV888" s="110"/>
    </row>
    <row r="889" spans="1:256" s="123" customFormat="1" ht="14.25">
      <c r="A889" s="134">
        <v>37145</v>
      </c>
      <c r="B889" s="111">
        <v>51.3265</v>
      </c>
      <c r="C889" s="111">
        <f t="shared" si="14"/>
        <v>0.051326500000000004</v>
      </c>
      <c r="D889" s="111">
        <v>30.6603</v>
      </c>
      <c r="E889" s="111">
        <v>33.89</v>
      </c>
      <c r="F889" s="131"/>
      <c r="G889" s="109"/>
      <c r="H889" s="111"/>
      <c r="I889" s="109"/>
      <c r="J889" s="109"/>
      <c r="K889" s="110"/>
      <c r="L889" s="109"/>
      <c r="M889" s="111"/>
      <c r="N889" s="109"/>
      <c r="O889" s="109"/>
      <c r="P889" s="110"/>
      <c r="Q889" s="109"/>
      <c r="R889" s="111"/>
      <c r="S889" s="109"/>
      <c r="T889" s="109"/>
      <c r="U889" s="110"/>
      <c r="V889" s="109"/>
      <c r="W889" s="111"/>
      <c r="X889" s="109"/>
      <c r="Y889" s="109"/>
      <c r="Z889" s="110"/>
      <c r="AA889" s="109"/>
      <c r="AB889" s="111"/>
      <c r="AC889" s="109"/>
      <c r="AD889" s="109"/>
      <c r="AE889" s="110"/>
      <c r="AF889" s="109"/>
      <c r="AG889" s="111"/>
      <c r="AH889" s="109"/>
      <c r="AI889" s="109"/>
      <c r="AJ889" s="110"/>
      <c r="AK889" s="109"/>
      <c r="AL889" s="111"/>
      <c r="AM889" s="109"/>
      <c r="AN889" s="109"/>
      <c r="AO889" s="110"/>
      <c r="AP889" s="109"/>
      <c r="AQ889" s="111"/>
      <c r="AR889" s="109"/>
      <c r="AS889" s="109"/>
      <c r="AT889" s="110"/>
      <c r="AU889" s="109"/>
      <c r="AV889" s="111"/>
      <c r="AW889" s="109"/>
      <c r="AX889" s="109"/>
      <c r="AY889" s="110"/>
      <c r="AZ889" s="109"/>
      <c r="BA889" s="111"/>
      <c r="BB889" s="109"/>
      <c r="BC889" s="109"/>
      <c r="BD889" s="110"/>
      <c r="BE889" s="109"/>
      <c r="BF889" s="111"/>
      <c r="BG889" s="109"/>
      <c r="BH889" s="109"/>
      <c r="BI889" s="110"/>
      <c r="BJ889" s="109"/>
      <c r="BK889" s="111"/>
      <c r="BL889" s="109"/>
      <c r="BM889" s="109"/>
      <c r="BN889" s="110"/>
      <c r="BO889" s="109"/>
      <c r="BP889" s="111"/>
      <c r="BQ889" s="109"/>
      <c r="BR889" s="109"/>
      <c r="BS889" s="110"/>
      <c r="BT889" s="109"/>
      <c r="BU889" s="111"/>
      <c r="BV889" s="109"/>
      <c r="BW889" s="109"/>
      <c r="BX889" s="110"/>
      <c r="BY889" s="109"/>
      <c r="BZ889" s="111"/>
      <c r="CA889" s="109"/>
      <c r="CB889" s="109"/>
      <c r="CC889" s="110"/>
      <c r="CD889" s="109"/>
      <c r="CE889" s="111"/>
      <c r="CF889" s="109"/>
      <c r="CG889" s="109"/>
      <c r="CH889" s="110"/>
      <c r="CI889" s="109"/>
      <c r="CJ889" s="111"/>
      <c r="CK889" s="109"/>
      <c r="CL889" s="109"/>
      <c r="CM889" s="110"/>
      <c r="CN889" s="109"/>
      <c r="CO889" s="111"/>
      <c r="CP889" s="109"/>
      <c r="CQ889" s="109"/>
      <c r="CR889" s="110"/>
      <c r="CS889" s="109"/>
      <c r="CT889" s="111"/>
      <c r="CU889" s="109"/>
      <c r="CV889" s="109"/>
      <c r="CW889" s="110"/>
      <c r="CX889" s="109"/>
      <c r="CY889" s="111"/>
      <c r="CZ889" s="109"/>
      <c r="DA889" s="109"/>
      <c r="DB889" s="110"/>
      <c r="DC889" s="109"/>
      <c r="DD889" s="111"/>
      <c r="DE889" s="109"/>
      <c r="DF889" s="109"/>
      <c r="DG889" s="110"/>
      <c r="DH889" s="109"/>
      <c r="DI889" s="111"/>
      <c r="DJ889" s="109"/>
      <c r="DK889" s="109"/>
      <c r="DL889" s="110"/>
      <c r="DM889" s="109"/>
      <c r="DN889" s="111"/>
      <c r="DO889" s="109"/>
      <c r="DP889" s="109"/>
      <c r="DQ889" s="110"/>
      <c r="DR889" s="109"/>
      <c r="DS889" s="111"/>
      <c r="DT889" s="109"/>
      <c r="DU889" s="109"/>
      <c r="DV889" s="110"/>
      <c r="DW889" s="109"/>
      <c r="DX889" s="111"/>
      <c r="DY889" s="109"/>
      <c r="DZ889" s="109"/>
      <c r="EA889" s="110"/>
      <c r="EB889" s="109"/>
      <c r="EC889" s="111"/>
      <c r="ED889" s="109"/>
      <c r="EE889" s="109"/>
      <c r="EF889" s="110"/>
      <c r="EG889" s="109"/>
      <c r="EH889" s="111"/>
      <c r="EI889" s="109"/>
      <c r="EJ889" s="109"/>
      <c r="EK889" s="110"/>
      <c r="EL889" s="109"/>
      <c r="EM889" s="111"/>
      <c r="EN889" s="109"/>
      <c r="EO889" s="109"/>
      <c r="EP889" s="110"/>
      <c r="EQ889" s="109"/>
      <c r="ER889" s="111"/>
      <c r="ES889" s="109"/>
      <c r="ET889" s="109"/>
      <c r="EU889" s="110"/>
      <c r="EV889" s="109"/>
      <c r="EW889" s="111"/>
      <c r="EX889" s="109"/>
      <c r="EY889" s="109"/>
      <c r="EZ889" s="110"/>
      <c r="FA889" s="109"/>
      <c r="FB889" s="111"/>
      <c r="FC889" s="109"/>
      <c r="FD889" s="109"/>
      <c r="FE889" s="110"/>
      <c r="FF889" s="109"/>
      <c r="FG889" s="111"/>
      <c r="FH889" s="109"/>
      <c r="FI889" s="109"/>
      <c r="FJ889" s="110"/>
      <c r="FK889" s="109"/>
      <c r="FL889" s="111"/>
      <c r="FM889" s="109"/>
      <c r="FN889" s="109"/>
      <c r="FO889" s="110"/>
      <c r="FP889" s="109"/>
      <c r="FQ889" s="111"/>
      <c r="FR889" s="109"/>
      <c r="FS889" s="109"/>
      <c r="FT889" s="110"/>
      <c r="FU889" s="109"/>
      <c r="FV889" s="111"/>
      <c r="FW889" s="109"/>
      <c r="FX889" s="109"/>
      <c r="FY889" s="110"/>
      <c r="FZ889" s="109"/>
      <c r="GA889" s="111"/>
      <c r="GB889" s="109"/>
      <c r="GC889" s="109"/>
      <c r="GD889" s="110"/>
      <c r="GE889" s="109"/>
      <c r="GF889" s="111"/>
      <c r="GG889" s="109"/>
      <c r="GH889" s="109"/>
      <c r="GI889" s="110"/>
      <c r="GJ889" s="109"/>
      <c r="GK889" s="111"/>
      <c r="GL889" s="109"/>
      <c r="GM889" s="109"/>
      <c r="GN889" s="110"/>
      <c r="GO889" s="109"/>
      <c r="GP889" s="111"/>
      <c r="GQ889" s="109"/>
      <c r="GR889" s="109"/>
      <c r="GS889" s="110"/>
      <c r="GT889" s="109"/>
      <c r="GU889" s="111"/>
      <c r="GV889" s="109"/>
      <c r="GW889" s="109"/>
      <c r="GX889" s="110"/>
      <c r="GY889" s="109"/>
      <c r="GZ889" s="111"/>
      <c r="HA889" s="109"/>
      <c r="HB889" s="109"/>
      <c r="HC889" s="110"/>
      <c r="HD889" s="109"/>
      <c r="HE889" s="111"/>
      <c r="HF889" s="109"/>
      <c r="HG889" s="109"/>
      <c r="HH889" s="110"/>
      <c r="HI889" s="109"/>
      <c r="HJ889" s="111"/>
      <c r="HK889" s="109"/>
      <c r="HL889" s="109"/>
      <c r="HM889" s="110"/>
      <c r="HN889" s="109"/>
      <c r="HO889" s="111"/>
      <c r="HP889" s="109"/>
      <c r="HQ889" s="109"/>
      <c r="HR889" s="110"/>
      <c r="HS889" s="109"/>
      <c r="HT889" s="111"/>
      <c r="HU889" s="109"/>
      <c r="HV889" s="109"/>
      <c r="HW889" s="110"/>
      <c r="HX889" s="109"/>
      <c r="HY889" s="111"/>
      <c r="HZ889" s="109"/>
      <c r="IA889" s="109"/>
      <c r="IB889" s="110"/>
      <c r="IC889" s="109"/>
      <c r="ID889" s="111"/>
      <c r="IE889" s="109"/>
      <c r="IF889" s="109"/>
      <c r="IG889" s="110"/>
      <c r="IH889" s="109"/>
      <c r="II889" s="111"/>
      <c r="IJ889" s="109"/>
      <c r="IK889" s="109"/>
      <c r="IL889" s="110"/>
      <c r="IM889" s="109"/>
      <c r="IN889" s="111"/>
      <c r="IO889" s="109"/>
      <c r="IP889" s="109"/>
      <c r="IQ889" s="110"/>
      <c r="IR889" s="109"/>
      <c r="IS889" s="111"/>
      <c r="IT889" s="109"/>
      <c r="IU889" s="109"/>
      <c r="IV889" s="110"/>
    </row>
    <row r="890" spans="1:256" s="123" customFormat="1" ht="14.25">
      <c r="A890" s="134">
        <v>37146</v>
      </c>
      <c r="B890" s="111">
        <v>52.2481</v>
      </c>
      <c r="C890" s="111">
        <f t="shared" si="14"/>
        <v>0.0522481</v>
      </c>
      <c r="D890" s="111">
        <v>30.9225</v>
      </c>
      <c r="E890" s="111">
        <v>34.4963</v>
      </c>
      <c r="F890" s="131"/>
      <c r="G890" s="109"/>
      <c r="H890" s="111"/>
      <c r="I890" s="109"/>
      <c r="J890" s="109"/>
      <c r="K890" s="110"/>
      <c r="L890" s="109"/>
      <c r="M890" s="111"/>
      <c r="N890" s="109"/>
      <c r="O890" s="109"/>
      <c r="P890" s="110"/>
      <c r="Q890" s="109"/>
      <c r="R890" s="111"/>
      <c r="S890" s="109"/>
      <c r="T890" s="109"/>
      <c r="U890" s="110"/>
      <c r="V890" s="109"/>
      <c r="W890" s="111"/>
      <c r="X890" s="109"/>
      <c r="Y890" s="109"/>
      <c r="Z890" s="110"/>
      <c r="AA890" s="109"/>
      <c r="AB890" s="111"/>
      <c r="AC890" s="109"/>
      <c r="AD890" s="109"/>
      <c r="AE890" s="110"/>
      <c r="AF890" s="109"/>
      <c r="AG890" s="111"/>
      <c r="AH890" s="109"/>
      <c r="AI890" s="109"/>
      <c r="AJ890" s="110"/>
      <c r="AK890" s="109"/>
      <c r="AL890" s="111"/>
      <c r="AM890" s="109"/>
      <c r="AN890" s="109"/>
      <c r="AO890" s="110"/>
      <c r="AP890" s="109"/>
      <c r="AQ890" s="111"/>
      <c r="AR890" s="109"/>
      <c r="AS890" s="109"/>
      <c r="AT890" s="110"/>
      <c r="AU890" s="109"/>
      <c r="AV890" s="111"/>
      <c r="AW890" s="109"/>
      <c r="AX890" s="109"/>
      <c r="AY890" s="110"/>
      <c r="AZ890" s="109"/>
      <c r="BA890" s="111"/>
      <c r="BB890" s="109"/>
      <c r="BC890" s="109"/>
      <c r="BD890" s="110"/>
      <c r="BE890" s="109"/>
      <c r="BF890" s="111"/>
      <c r="BG890" s="109"/>
      <c r="BH890" s="109"/>
      <c r="BI890" s="110"/>
      <c r="BJ890" s="109"/>
      <c r="BK890" s="111"/>
      <c r="BL890" s="109"/>
      <c r="BM890" s="109"/>
      <c r="BN890" s="110"/>
      <c r="BO890" s="109"/>
      <c r="BP890" s="111"/>
      <c r="BQ890" s="109"/>
      <c r="BR890" s="109"/>
      <c r="BS890" s="110"/>
      <c r="BT890" s="109"/>
      <c r="BU890" s="111"/>
      <c r="BV890" s="109"/>
      <c r="BW890" s="109"/>
      <c r="BX890" s="110"/>
      <c r="BY890" s="109"/>
      <c r="BZ890" s="111"/>
      <c r="CA890" s="109"/>
      <c r="CB890" s="109"/>
      <c r="CC890" s="110"/>
      <c r="CD890" s="109"/>
      <c r="CE890" s="111"/>
      <c r="CF890" s="109"/>
      <c r="CG890" s="109"/>
      <c r="CH890" s="110"/>
      <c r="CI890" s="109"/>
      <c r="CJ890" s="111"/>
      <c r="CK890" s="109"/>
      <c r="CL890" s="109"/>
      <c r="CM890" s="110"/>
      <c r="CN890" s="109"/>
      <c r="CO890" s="111"/>
      <c r="CP890" s="109"/>
      <c r="CQ890" s="109"/>
      <c r="CR890" s="110"/>
      <c r="CS890" s="109"/>
      <c r="CT890" s="111"/>
      <c r="CU890" s="109"/>
      <c r="CV890" s="109"/>
      <c r="CW890" s="110"/>
      <c r="CX890" s="109"/>
      <c r="CY890" s="111"/>
      <c r="CZ890" s="109"/>
      <c r="DA890" s="109"/>
      <c r="DB890" s="110"/>
      <c r="DC890" s="109"/>
      <c r="DD890" s="111"/>
      <c r="DE890" s="109"/>
      <c r="DF890" s="109"/>
      <c r="DG890" s="110"/>
      <c r="DH890" s="109"/>
      <c r="DI890" s="111"/>
      <c r="DJ890" s="109"/>
      <c r="DK890" s="109"/>
      <c r="DL890" s="110"/>
      <c r="DM890" s="109"/>
      <c r="DN890" s="111"/>
      <c r="DO890" s="109"/>
      <c r="DP890" s="109"/>
      <c r="DQ890" s="110"/>
      <c r="DR890" s="109"/>
      <c r="DS890" s="111"/>
      <c r="DT890" s="109"/>
      <c r="DU890" s="109"/>
      <c r="DV890" s="110"/>
      <c r="DW890" s="109"/>
      <c r="DX890" s="111"/>
      <c r="DY890" s="109"/>
      <c r="DZ890" s="109"/>
      <c r="EA890" s="110"/>
      <c r="EB890" s="109"/>
      <c r="EC890" s="111"/>
      <c r="ED890" s="109"/>
      <c r="EE890" s="109"/>
      <c r="EF890" s="110"/>
      <c r="EG890" s="109"/>
      <c r="EH890" s="111"/>
      <c r="EI890" s="109"/>
      <c r="EJ890" s="109"/>
      <c r="EK890" s="110"/>
      <c r="EL890" s="109"/>
      <c r="EM890" s="111"/>
      <c r="EN890" s="109"/>
      <c r="EO890" s="109"/>
      <c r="EP890" s="110"/>
      <c r="EQ890" s="109"/>
      <c r="ER890" s="111"/>
      <c r="ES890" s="109"/>
      <c r="ET890" s="109"/>
      <c r="EU890" s="110"/>
      <c r="EV890" s="109"/>
      <c r="EW890" s="111"/>
      <c r="EX890" s="109"/>
      <c r="EY890" s="109"/>
      <c r="EZ890" s="110"/>
      <c r="FA890" s="109"/>
      <c r="FB890" s="111"/>
      <c r="FC890" s="109"/>
      <c r="FD890" s="109"/>
      <c r="FE890" s="110"/>
      <c r="FF890" s="109"/>
      <c r="FG890" s="111"/>
      <c r="FH890" s="109"/>
      <c r="FI890" s="109"/>
      <c r="FJ890" s="110"/>
      <c r="FK890" s="109"/>
      <c r="FL890" s="111"/>
      <c r="FM890" s="109"/>
      <c r="FN890" s="109"/>
      <c r="FO890" s="110"/>
      <c r="FP890" s="109"/>
      <c r="FQ890" s="111"/>
      <c r="FR890" s="109"/>
      <c r="FS890" s="109"/>
      <c r="FT890" s="110"/>
      <c r="FU890" s="109"/>
      <c r="FV890" s="111"/>
      <c r="FW890" s="109"/>
      <c r="FX890" s="109"/>
      <c r="FY890" s="110"/>
      <c r="FZ890" s="109"/>
      <c r="GA890" s="111"/>
      <c r="GB890" s="109"/>
      <c r="GC890" s="109"/>
      <c r="GD890" s="110"/>
      <c r="GE890" s="109"/>
      <c r="GF890" s="111"/>
      <c r="GG890" s="109"/>
      <c r="GH890" s="109"/>
      <c r="GI890" s="110"/>
      <c r="GJ890" s="109"/>
      <c r="GK890" s="111"/>
      <c r="GL890" s="109"/>
      <c r="GM890" s="109"/>
      <c r="GN890" s="110"/>
      <c r="GO890" s="109"/>
      <c r="GP890" s="111"/>
      <c r="GQ890" s="109"/>
      <c r="GR890" s="109"/>
      <c r="GS890" s="110"/>
      <c r="GT890" s="109"/>
      <c r="GU890" s="111"/>
      <c r="GV890" s="109"/>
      <c r="GW890" s="109"/>
      <c r="GX890" s="110"/>
      <c r="GY890" s="109"/>
      <c r="GZ890" s="111"/>
      <c r="HA890" s="109"/>
      <c r="HB890" s="109"/>
      <c r="HC890" s="110"/>
      <c r="HD890" s="109"/>
      <c r="HE890" s="111"/>
      <c r="HF890" s="109"/>
      <c r="HG890" s="109"/>
      <c r="HH890" s="110"/>
      <c r="HI890" s="109"/>
      <c r="HJ890" s="111"/>
      <c r="HK890" s="109"/>
      <c r="HL890" s="109"/>
      <c r="HM890" s="110"/>
      <c r="HN890" s="109"/>
      <c r="HO890" s="111"/>
      <c r="HP890" s="109"/>
      <c r="HQ890" s="109"/>
      <c r="HR890" s="110"/>
      <c r="HS890" s="109"/>
      <c r="HT890" s="111"/>
      <c r="HU890" s="109"/>
      <c r="HV890" s="109"/>
      <c r="HW890" s="110"/>
      <c r="HX890" s="109"/>
      <c r="HY890" s="111"/>
      <c r="HZ890" s="109"/>
      <c r="IA890" s="109"/>
      <c r="IB890" s="110"/>
      <c r="IC890" s="109"/>
      <c r="ID890" s="111"/>
      <c r="IE890" s="109"/>
      <c r="IF890" s="109"/>
      <c r="IG890" s="110"/>
      <c r="IH890" s="109"/>
      <c r="II890" s="111"/>
      <c r="IJ890" s="109"/>
      <c r="IK890" s="109"/>
      <c r="IL890" s="110"/>
      <c r="IM890" s="109"/>
      <c r="IN890" s="111"/>
      <c r="IO890" s="109"/>
      <c r="IP890" s="109"/>
      <c r="IQ890" s="110"/>
      <c r="IR890" s="109"/>
      <c r="IS890" s="111"/>
      <c r="IT890" s="109"/>
      <c r="IU890" s="109"/>
      <c r="IV890" s="110"/>
    </row>
    <row r="891" spans="1:256" s="123" customFormat="1" ht="14.25">
      <c r="A891" s="134">
        <v>37147</v>
      </c>
      <c r="B891" s="111">
        <v>52.6212</v>
      </c>
      <c r="C891" s="111">
        <f t="shared" si="14"/>
        <v>0.0526212</v>
      </c>
      <c r="D891" s="111">
        <v>31.6917</v>
      </c>
      <c r="E891" s="111">
        <v>35.0108</v>
      </c>
      <c r="F891" s="131"/>
      <c r="G891" s="109"/>
      <c r="H891" s="111"/>
      <c r="I891" s="109"/>
      <c r="J891" s="109"/>
      <c r="K891" s="110"/>
      <c r="L891" s="109"/>
      <c r="M891" s="111"/>
      <c r="N891" s="109"/>
      <c r="O891" s="109"/>
      <c r="P891" s="110"/>
      <c r="Q891" s="109"/>
      <c r="R891" s="111"/>
      <c r="S891" s="109"/>
      <c r="T891" s="109"/>
      <c r="U891" s="110"/>
      <c r="V891" s="109"/>
      <c r="W891" s="111"/>
      <c r="X891" s="109"/>
      <c r="Y891" s="109"/>
      <c r="Z891" s="110"/>
      <c r="AA891" s="109"/>
      <c r="AB891" s="111"/>
      <c r="AC891" s="109"/>
      <c r="AD891" s="109"/>
      <c r="AE891" s="110"/>
      <c r="AF891" s="109"/>
      <c r="AG891" s="111"/>
      <c r="AH891" s="109"/>
      <c r="AI891" s="109"/>
      <c r="AJ891" s="110"/>
      <c r="AK891" s="109"/>
      <c r="AL891" s="111"/>
      <c r="AM891" s="109"/>
      <c r="AN891" s="109"/>
      <c r="AO891" s="110"/>
      <c r="AP891" s="109"/>
      <c r="AQ891" s="111"/>
      <c r="AR891" s="109"/>
      <c r="AS891" s="109"/>
      <c r="AT891" s="110"/>
      <c r="AU891" s="109"/>
      <c r="AV891" s="111"/>
      <c r="AW891" s="109"/>
      <c r="AX891" s="109"/>
      <c r="AY891" s="110"/>
      <c r="AZ891" s="109"/>
      <c r="BA891" s="111"/>
      <c r="BB891" s="109"/>
      <c r="BC891" s="109"/>
      <c r="BD891" s="110"/>
      <c r="BE891" s="109"/>
      <c r="BF891" s="111"/>
      <c r="BG891" s="109"/>
      <c r="BH891" s="109"/>
      <c r="BI891" s="110"/>
      <c r="BJ891" s="109"/>
      <c r="BK891" s="111"/>
      <c r="BL891" s="109"/>
      <c r="BM891" s="109"/>
      <c r="BN891" s="110"/>
      <c r="BO891" s="109"/>
      <c r="BP891" s="111"/>
      <c r="BQ891" s="109"/>
      <c r="BR891" s="109"/>
      <c r="BS891" s="110"/>
      <c r="BT891" s="109"/>
      <c r="BU891" s="111"/>
      <c r="BV891" s="109"/>
      <c r="BW891" s="109"/>
      <c r="BX891" s="110"/>
      <c r="BY891" s="109"/>
      <c r="BZ891" s="111"/>
      <c r="CA891" s="109"/>
      <c r="CB891" s="109"/>
      <c r="CC891" s="110"/>
      <c r="CD891" s="109"/>
      <c r="CE891" s="111"/>
      <c r="CF891" s="109"/>
      <c r="CG891" s="109"/>
      <c r="CH891" s="110"/>
      <c r="CI891" s="109"/>
      <c r="CJ891" s="111"/>
      <c r="CK891" s="109"/>
      <c r="CL891" s="109"/>
      <c r="CM891" s="110"/>
      <c r="CN891" s="109"/>
      <c r="CO891" s="111"/>
      <c r="CP891" s="109"/>
      <c r="CQ891" s="109"/>
      <c r="CR891" s="110"/>
      <c r="CS891" s="109"/>
      <c r="CT891" s="111"/>
      <c r="CU891" s="109"/>
      <c r="CV891" s="109"/>
      <c r="CW891" s="110"/>
      <c r="CX891" s="109"/>
      <c r="CY891" s="111"/>
      <c r="CZ891" s="109"/>
      <c r="DA891" s="109"/>
      <c r="DB891" s="110"/>
      <c r="DC891" s="109"/>
      <c r="DD891" s="111"/>
      <c r="DE891" s="109"/>
      <c r="DF891" s="109"/>
      <c r="DG891" s="110"/>
      <c r="DH891" s="109"/>
      <c r="DI891" s="111"/>
      <c r="DJ891" s="109"/>
      <c r="DK891" s="109"/>
      <c r="DL891" s="110"/>
      <c r="DM891" s="109"/>
      <c r="DN891" s="111"/>
      <c r="DO891" s="109"/>
      <c r="DP891" s="109"/>
      <c r="DQ891" s="110"/>
      <c r="DR891" s="109"/>
      <c r="DS891" s="111"/>
      <c r="DT891" s="109"/>
      <c r="DU891" s="109"/>
      <c r="DV891" s="110"/>
      <c r="DW891" s="109"/>
      <c r="DX891" s="111"/>
      <c r="DY891" s="109"/>
      <c r="DZ891" s="109"/>
      <c r="EA891" s="110"/>
      <c r="EB891" s="109"/>
      <c r="EC891" s="111"/>
      <c r="ED891" s="109"/>
      <c r="EE891" s="109"/>
      <c r="EF891" s="110"/>
      <c r="EG891" s="109"/>
      <c r="EH891" s="111"/>
      <c r="EI891" s="109"/>
      <c r="EJ891" s="109"/>
      <c r="EK891" s="110"/>
      <c r="EL891" s="109"/>
      <c r="EM891" s="111"/>
      <c r="EN891" s="109"/>
      <c r="EO891" s="109"/>
      <c r="EP891" s="110"/>
      <c r="EQ891" s="109"/>
      <c r="ER891" s="111"/>
      <c r="ES891" s="109"/>
      <c r="ET891" s="109"/>
      <c r="EU891" s="110"/>
      <c r="EV891" s="109"/>
      <c r="EW891" s="111"/>
      <c r="EX891" s="109"/>
      <c r="EY891" s="109"/>
      <c r="EZ891" s="110"/>
      <c r="FA891" s="109"/>
      <c r="FB891" s="111"/>
      <c r="FC891" s="109"/>
      <c r="FD891" s="109"/>
      <c r="FE891" s="110"/>
      <c r="FF891" s="109"/>
      <c r="FG891" s="111"/>
      <c r="FH891" s="109"/>
      <c r="FI891" s="109"/>
      <c r="FJ891" s="110"/>
      <c r="FK891" s="109"/>
      <c r="FL891" s="111"/>
      <c r="FM891" s="109"/>
      <c r="FN891" s="109"/>
      <c r="FO891" s="110"/>
      <c r="FP891" s="109"/>
      <c r="FQ891" s="111"/>
      <c r="FR891" s="109"/>
      <c r="FS891" s="109"/>
      <c r="FT891" s="110"/>
      <c r="FU891" s="109"/>
      <c r="FV891" s="111"/>
      <c r="FW891" s="109"/>
      <c r="FX891" s="109"/>
      <c r="FY891" s="110"/>
      <c r="FZ891" s="109"/>
      <c r="GA891" s="111"/>
      <c r="GB891" s="109"/>
      <c r="GC891" s="109"/>
      <c r="GD891" s="110"/>
      <c r="GE891" s="109"/>
      <c r="GF891" s="111"/>
      <c r="GG891" s="109"/>
      <c r="GH891" s="109"/>
      <c r="GI891" s="110"/>
      <c r="GJ891" s="109"/>
      <c r="GK891" s="111"/>
      <c r="GL891" s="109"/>
      <c r="GM891" s="109"/>
      <c r="GN891" s="110"/>
      <c r="GO891" s="109"/>
      <c r="GP891" s="111"/>
      <c r="GQ891" s="109"/>
      <c r="GR891" s="109"/>
      <c r="GS891" s="110"/>
      <c r="GT891" s="109"/>
      <c r="GU891" s="111"/>
      <c r="GV891" s="109"/>
      <c r="GW891" s="109"/>
      <c r="GX891" s="110"/>
      <c r="GY891" s="109"/>
      <c r="GZ891" s="111"/>
      <c r="HA891" s="109"/>
      <c r="HB891" s="109"/>
      <c r="HC891" s="110"/>
      <c r="HD891" s="109"/>
      <c r="HE891" s="111"/>
      <c r="HF891" s="109"/>
      <c r="HG891" s="109"/>
      <c r="HH891" s="110"/>
      <c r="HI891" s="109"/>
      <c r="HJ891" s="111"/>
      <c r="HK891" s="109"/>
      <c r="HL891" s="109"/>
      <c r="HM891" s="110"/>
      <c r="HN891" s="109"/>
      <c r="HO891" s="111"/>
      <c r="HP891" s="109"/>
      <c r="HQ891" s="109"/>
      <c r="HR891" s="110"/>
      <c r="HS891" s="109"/>
      <c r="HT891" s="111"/>
      <c r="HU891" s="109"/>
      <c r="HV891" s="109"/>
      <c r="HW891" s="110"/>
      <c r="HX891" s="109"/>
      <c r="HY891" s="111"/>
      <c r="HZ891" s="109"/>
      <c r="IA891" s="109"/>
      <c r="IB891" s="110"/>
      <c r="IC891" s="109"/>
      <c r="ID891" s="111"/>
      <c r="IE891" s="109"/>
      <c r="IF891" s="109"/>
      <c r="IG891" s="110"/>
      <c r="IH891" s="109"/>
      <c r="II891" s="111"/>
      <c r="IJ891" s="109"/>
      <c r="IK891" s="109"/>
      <c r="IL891" s="110"/>
      <c r="IM891" s="109"/>
      <c r="IN891" s="111"/>
      <c r="IO891" s="109"/>
      <c r="IP891" s="109"/>
      <c r="IQ891" s="110"/>
      <c r="IR891" s="109"/>
      <c r="IS891" s="111"/>
      <c r="IT891" s="109"/>
      <c r="IU891" s="109"/>
      <c r="IV891" s="110"/>
    </row>
    <row r="892" spans="1:256" s="123" customFormat="1" ht="14.25">
      <c r="A892" s="134">
        <v>37148</v>
      </c>
      <c r="B892" s="111">
        <v>54.8789</v>
      </c>
      <c r="C892" s="111">
        <f t="shared" si="14"/>
        <v>0.0548789</v>
      </c>
      <c r="D892" s="111">
        <v>33.0587</v>
      </c>
      <c r="E892" s="111">
        <v>36.4886</v>
      </c>
      <c r="F892" s="131"/>
      <c r="G892" s="109"/>
      <c r="H892" s="111"/>
      <c r="I892" s="109"/>
      <c r="J892" s="109"/>
      <c r="K892" s="110"/>
      <c r="L892" s="109"/>
      <c r="M892" s="111"/>
      <c r="N892" s="109"/>
      <c r="O892" s="109"/>
      <c r="P892" s="110"/>
      <c r="Q892" s="109"/>
      <c r="R892" s="111"/>
      <c r="S892" s="109"/>
      <c r="T892" s="109"/>
      <c r="U892" s="110"/>
      <c r="V892" s="109"/>
      <c r="W892" s="111"/>
      <c r="X892" s="109"/>
      <c r="Y892" s="109"/>
      <c r="Z892" s="110"/>
      <c r="AA892" s="109"/>
      <c r="AB892" s="111"/>
      <c r="AC892" s="109"/>
      <c r="AD892" s="109"/>
      <c r="AE892" s="110"/>
      <c r="AF892" s="109"/>
      <c r="AG892" s="111"/>
      <c r="AH892" s="109"/>
      <c r="AI892" s="109"/>
      <c r="AJ892" s="110"/>
      <c r="AK892" s="109"/>
      <c r="AL892" s="111"/>
      <c r="AM892" s="109"/>
      <c r="AN892" s="109"/>
      <c r="AO892" s="110"/>
      <c r="AP892" s="109"/>
      <c r="AQ892" s="111"/>
      <c r="AR892" s="109"/>
      <c r="AS892" s="109"/>
      <c r="AT892" s="110"/>
      <c r="AU892" s="109"/>
      <c r="AV892" s="111"/>
      <c r="AW892" s="109"/>
      <c r="AX892" s="109"/>
      <c r="AY892" s="110"/>
      <c r="AZ892" s="109"/>
      <c r="BA892" s="111"/>
      <c r="BB892" s="109"/>
      <c r="BC892" s="109"/>
      <c r="BD892" s="110"/>
      <c r="BE892" s="109"/>
      <c r="BF892" s="111"/>
      <c r="BG892" s="109"/>
      <c r="BH892" s="109"/>
      <c r="BI892" s="110"/>
      <c r="BJ892" s="109"/>
      <c r="BK892" s="111"/>
      <c r="BL892" s="109"/>
      <c r="BM892" s="109"/>
      <c r="BN892" s="110"/>
      <c r="BO892" s="109"/>
      <c r="BP892" s="111"/>
      <c r="BQ892" s="109"/>
      <c r="BR892" s="109"/>
      <c r="BS892" s="110"/>
      <c r="BT892" s="109"/>
      <c r="BU892" s="111"/>
      <c r="BV892" s="109"/>
      <c r="BW892" s="109"/>
      <c r="BX892" s="110"/>
      <c r="BY892" s="109"/>
      <c r="BZ892" s="111"/>
      <c r="CA892" s="109"/>
      <c r="CB892" s="109"/>
      <c r="CC892" s="110"/>
      <c r="CD892" s="109"/>
      <c r="CE892" s="111"/>
      <c r="CF892" s="109"/>
      <c r="CG892" s="109"/>
      <c r="CH892" s="110"/>
      <c r="CI892" s="109"/>
      <c r="CJ892" s="111"/>
      <c r="CK892" s="109"/>
      <c r="CL892" s="109"/>
      <c r="CM892" s="110"/>
      <c r="CN892" s="109"/>
      <c r="CO892" s="111"/>
      <c r="CP892" s="109"/>
      <c r="CQ892" s="109"/>
      <c r="CR892" s="110"/>
      <c r="CS892" s="109"/>
      <c r="CT892" s="111"/>
      <c r="CU892" s="109"/>
      <c r="CV892" s="109"/>
      <c r="CW892" s="110"/>
      <c r="CX892" s="109"/>
      <c r="CY892" s="111"/>
      <c r="CZ892" s="109"/>
      <c r="DA892" s="109"/>
      <c r="DB892" s="110"/>
      <c r="DC892" s="109"/>
      <c r="DD892" s="111"/>
      <c r="DE892" s="109"/>
      <c r="DF892" s="109"/>
      <c r="DG892" s="110"/>
      <c r="DH892" s="109"/>
      <c r="DI892" s="111"/>
      <c r="DJ892" s="109"/>
      <c r="DK892" s="109"/>
      <c r="DL892" s="110"/>
      <c r="DM892" s="109"/>
      <c r="DN892" s="111"/>
      <c r="DO892" s="109"/>
      <c r="DP892" s="109"/>
      <c r="DQ892" s="110"/>
      <c r="DR892" s="109"/>
      <c r="DS892" s="111"/>
      <c r="DT892" s="109"/>
      <c r="DU892" s="109"/>
      <c r="DV892" s="110"/>
      <c r="DW892" s="109"/>
      <c r="DX892" s="111"/>
      <c r="DY892" s="109"/>
      <c r="DZ892" s="109"/>
      <c r="EA892" s="110"/>
      <c r="EB892" s="109"/>
      <c r="EC892" s="111"/>
      <c r="ED892" s="109"/>
      <c r="EE892" s="109"/>
      <c r="EF892" s="110"/>
      <c r="EG892" s="109"/>
      <c r="EH892" s="111"/>
      <c r="EI892" s="109"/>
      <c r="EJ892" s="109"/>
      <c r="EK892" s="110"/>
      <c r="EL892" s="109"/>
      <c r="EM892" s="111"/>
      <c r="EN892" s="109"/>
      <c r="EO892" s="109"/>
      <c r="EP892" s="110"/>
      <c r="EQ892" s="109"/>
      <c r="ER892" s="111"/>
      <c r="ES892" s="109"/>
      <c r="ET892" s="109"/>
      <c r="EU892" s="110"/>
      <c r="EV892" s="109"/>
      <c r="EW892" s="111"/>
      <c r="EX892" s="109"/>
      <c r="EY892" s="109"/>
      <c r="EZ892" s="110"/>
      <c r="FA892" s="109"/>
      <c r="FB892" s="111"/>
      <c r="FC892" s="109"/>
      <c r="FD892" s="109"/>
      <c r="FE892" s="110"/>
      <c r="FF892" s="109"/>
      <c r="FG892" s="111"/>
      <c r="FH892" s="109"/>
      <c r="FI892" s="109"/>
      <c r="FJ892" s="110"/>
      <c r="FK892" s="109"/>
      <c r="FL892" s="111"/>
      <c r="FM892" s="109"/>
      <c r="FN892" s="109"/>
      <c r="FO892" s="110"/>
      <c r="FP892" s="109"/>
      <c r="FQ892" s="111"/>
      <c r="FR892" s="109"/>
      <c r="FS892" s="109"/>
      <c r="FT892" s="110"/>
      <c r="FU892" s="109"/>
      <c r="FV892" s="111"/>
      <c r="FW892" s="109"/>
      <c r="FX892" s="109"/>
      <c r="FY892" s="110"/>
      <c r="FZ892" s="109"/>
      <c r="GA892" s="111"/>
      <c r="GB892" s="109"/>
      <c r="GC892" s="109"/>
      <c r="GD892" s="110"/>
      <c r="GE892" s="109"/>
      <c r="GF892" s="111"/>
      <c r="GG892" s="109"/>
      <c r="GH892" s="109"/>
      <c r="GI892" s="110"/>
      <c r="GJ892" s="109"/>
      <c r="GK892" s="111"/>
      <c r="GL892" s="109"/>
      <c r="GM892" s="109"/>
      <c r="GN892" s="110"/>
      <c r="GO892" s="109"/>
      <c r="GP892" s="111"/>
      <c r="GQ892" s="109"/>
      <c r="GR892" s="109"/>
      <c r="GS892" s="110"/>
      <c r="GT892" s="109"/>
      <c r="GU892" s="111"/>
      <c r="GV892" s="109"/>
      <c r="GW892" s="109"/>
      <c r="GX892" s="110"/>
      <c r="GY892" s="109"/>
      <c r="GZ892" s="111"/>
      <c r="HA892" s="109"/>
      <c r="HB892" s="109"/>
      <c r="HC892" s="110"/>
      <c r="HD892" s="109"/>
      <c r="HE892" s="111"/>
      <c r="HF892" s="109"/>
      <c r="HG892" s="109"/>
      <c r="HH892" s="110"/>
      <c r="HI892" s="109"/>
      <c r="HJ892" s="111"/>
      <c r="HK892" s="109"/>
      <c r="HL892" s="109"/>
      <c r="HM892" s="110"/>
      <c r="HN892" s="109"/>
      <c r="HO892" s="111"/>
      <c r="HP892" s="109"/>
      <c r="HQ892" s="109"/>
      <c r="HR892" s="110"/>
      <c r="HS892" s="109"/>
      <c r="HT892" s="111"/>
      <c r="HU892" s="109"/>
      <c r="HV892" s="109"/>
      <c r="HW892" s="110"/>
      <c r="HX892" s="109"/>
      <c r="HY892" s="111"/>
      <c r="HZ892" s="109"/>
      <c r="IA892" s="109"/>
      <c r="IB892" s="110"/>
      <c r="IC892" s="109"/>
      <c r="ID892" s="111"/>
      <c r="IE892" s="109"/>
      <c r="IF892" s="109"/>
      <c r="IG892" s="110"/>
      <c r="IH892" s="109"/>
      <c r="II892" s="111"/>
      <c r="IJ892" s="109"/>
      <c r="IK892" s="109"/>
      <c r="IL892" s="110"/>
      <c r="IM892" s="109"/>
      <c r="IN892" s="111"/>
      <c r="IO892" s="109"/>
      <c r="IP892" s="109"/>
      <c r="IQ892" s="110"/>
      <c r="IR892" s="109"/>
      <c r="IS892" s="111"/>
      <c r="IT892" s="109"/>
      <c r="IU892" s="109"/>
      <c r="IV892" s="110"/>
    </row>
    <row r="893" spans="1:256" s="123" customFormat="1" ht="14.25">
      <c r="A893" s="134">
        <v>37151</v>
      </c>
      <c r="B893" s="111">
        <v>55.4794</v>
      </c>
      <c r="C893" s="111">
        <f t="shared" si="14"/>
        <v>0.0554794</v>
      </c>
      <c r="D893" s="111">
        <v>34.134</v>
      </c>
      <c r="E893" s="111">
        <v>37.0257</v>
      </c>
      <c r="F893" s="131"/>
      <c r="G893" s="109"/>
      <c r="H893" s="111"/>
      <c r="I893" s="109"/>
      <c r="J893" s="109"/>
      <c r="K893" s="110"/>
      <c r="L893" s="109"/>
      <c r="M893" s="111"/>
      <c r="N893" s="109"/>
      <c r="O893" s="109"/>
      <c r="P893" s="110"/>
      <c r="Q893" s="109"/>
      <c r="R893" s="111"/>
      <c r="S893" s="109"/>
      <c r="T893" s="109"/>
      <c r="U893" s="110"/>
      <c r="V893" s="109"/>
      <c r="W893" s="111"/>
      <c r="X893" s="109"/>
      <c r="Y893" s="109"/>
      <c r="Z893" s="110"/>
      <c r="AA893" s="109"/>
      <c r="AB893" s="111"/>
      <c r="AC893" s="109"/>
      <c r="AD893" s="109"/>
      <c r="AE893" s="110"/>
      <c r="AF893" s="109"/>
      <c r="AG893" s="111"/>
      <c r="AH893" s="109"/>
      <c r="AI893" s="109"/>
      <c r="AJ893" s="110"/>
      <c r="AK893" s="109"/>
      <c r="AL893" s="111"/>
      <c r="AM893" s="109"/>
      <c r="AN893" s="109"/>
      <c r="AO893" s="110"/>
      <c r="AP893" s="109"/>
      <c r="AQ893" s="111"/>
      <c r="AR893" s="109"/>
      <c r="AS893" s="109"/>
      <c r="AT893" s="110"/>
      <c r="AU893" s="109"/>
      <c r="AV893" s="111"/>
      <c r="AW893" s="109"/>
      <c r="AX893" s="109"/>
      <c r="AY893" s="110"/>
      <c r="AZ893" s="109"/>
      <c r="BA893" s="111"/>
      <c r="BB893" s="109"/>
      <c r="BC893" s="109"/>
      <c r="BD893" s="110"/>
      <c r="BE893" s="109"/>
      <c r="BF893" s="111"/>
      <c r="BG893" s="109"/>
      <c r="BH893" s="109"/>
      <c r="BI893" s="110"/>
      <c r="BJ893" s="109"/>
      <c r="BK893" s="111"/>
      <c r="BL893" s="109"/>
      <c r="BM893" s="109"/>
      <c r="BN893" s="110"/>
      <c r="BO893" s="109"/>
      <c r="BP893" s="111"/>
      <c r="BQ893" s="109"/>
      <c r="BR893" s="109"/>
      <c r="BS893" s="110"/>
      <c r="BT893" s="109"/>
      <c r="BU893" s="111"/>
      <c r="BV893" s="109"/>
      <c r="BW893" s="109"/>
      <c r="BX893" s="110"/>
      <c r="BY893" s="109"/>
      <c r="BZ893" s="111"/>
      <c r="CA893" s="109"/>
      <c r="CB893" s="109"/>
      <c r="CC893" s="110"/>
      <c r="CD893" s="109"/>
      <c r="CE893" s="111"/>
      <c r="CF893" s="109"/>
      <c r="CG893" s="109"/>
      <c r="CH893" s="110"/>
      <c r="CI893" s="109"/>
      <c r="CJ893" s="111"/>
      <c r="CK893" s="109"/>
      <c r="CL893" s="109"/>
      <c r="CM893" s="110"/>
      <c r="CN893" s="109"/>
      <c r="CO893" s="111"/>
      <c r="CP893" s="109"/>
      <c r="CQ893" s="109"/>
      <c r="CR893" s="110"/>
      <c r="CS893" s="109"/>
      <c r="CT893" s="111"/>
      <c r="CU893" s="109"/>
      <c r="CV893" s="109"/>
      <c r="CW893" s="110"/>
      <c r="CX893" s="109"/>
      <c r="CY893" s="111"/>
      <c r="CZ893" s="109"/>
      <c r="DA893" s="109"/>
      <c r="DB893" s="110"/>
      <c r="DC893" s="109"/>
      <c r="DD893" s="111"/>
      <c r="DE893" s="109"/>
      <c r="DF893" s="109"/>
      <c r="DG893" s="110"/>
      <c r="DH893" s="109"/>
      <c r="DI893" s="111"/>
      <c r="DJ893" s="109"/>
      <c r="DK893" s="109"/>
      <c r="DL893" s="110"/>
      <c r="DM893" s="109"/>
      <c r="DN893" s="111"/>
      <c r="DO893" s="109"/>
      <c r="DP893" s="109"/>
      <c r="DQ893" s="110"/>
      <c r="DR893" s="109"/>
      <c r="DS893" s="111"/>
      <c r="DT893" s="109"/>
      <c r="DU893" s="109"/>
      <c r="DV893" s="110"/>
      <c r="DW893" s="109"/>
      <c r="DX893" s="111"/>
      <c r="DY893" s="109"/>
      <c r="DZ893" s="109"/>
      <c r="EA893" s="110"/>
      <c r="EB893" s="109"/>
      <c r="EC893" s="111"/>
      <c r="ED893" s="109"/>
      <c r="EE893" s="109"/>
      <c r="EF893" s="110"/>
      <c r="EG893" s="109"/>
      <c r="EH893" s="111"/>
      <c r="EI893" s="109"/>
      <c r="EJ893" s="109"/>
      <c r="EK893" s="110"/>
      <c r="EL893" s="109"/>
      <c r="EM893" s="111"/>
      <c r="EN893" s="109"/>
      <c r="EO893" s="109"/>
      <c r="EP893" s="110"/>
      <c r="EQ893" s="109"/>
      <c r="ER893" s="111"/>
      <c r="ES893" s="109"/>
      <c r="ET893" s="109"/>
      <c r="EU893" s="110"/>
      <c r="EV893" s="109"/>
      <c r="EW893" s="111"/>
      <c r="EX893" s="109"/>
      <c r="EY893" s="109"/>
      <c r="EZ893" s="110"/>
      <c r="FA893" s="109"/>
      <c r="FB893" s="111"/>
      <c r="FC893" s="109"/>
      <c r="FD893" s="109"/>
      <c r="FE893" s="110"/>
      <c r="FF893" s="109"/>
      <c r="FG893" s="111"/>
      <c r="FH893" s="109"/>
      <c r="FI893" s="109"/>
      <c r="FJ893" s="110"/>
      <c r="FK893" s="109"/>
      <c r="FL893" s="111"/>
      <c r="FM893" s="109"/>
      <c r="FN893" s="109"/>
      <c r="FO893" s="110"/>
      <c r="FP893" s="109"/>
      <c r="FQ893" s="111"/>
      <c r="FR893" s="109"/>
      <c r="FS893" s="109"/>
      <c r="FT893" s="110"/>
      <c r="FU893" s="109"/>
      <c r="FV893" s="111"/>
      <c r="FW893" s="109"/>
      <c r="FX893" s="109"/>
      <c r="FY893" s="110"/>
      <c r="FZ893" s="109"/>
      <c r="GA893" s="111"/>
      <c r="GB893" s="109"/>
      <c r="GC893" s="109"/>
      <c r="GD893" s="110"/>
      <c r="GE893" s="109"/>
      <c r="GF893" s="111"/>
      <c r="GG893" s="109"/>
      <c r="GH893" s="109"/>
      <c r="GI893" s="110"/>
      <c r="GJ893" s="109"/>
      <c r="GK893" s="111"/>
      <c r="GL893" s="109"/>
      <c r="GM893" s="109"/>
      <c r="GN893" s="110"/>
      <c r="GO893" s="109"/>
      <c r="GP893" s="111"/>
      <c r="GQ893" s="109"/>
      <c r="GR893" s="109"/>
      <c r="GS893" s="110"/>
      <c r="GT893" s="109"/>
      <c r="GU893" s="111"/>
      <c r="GV893" s="109"/>
      <c r="GW893" s="109"/>
      <c r="GX893" s="110"/>
      <c r="GY893" s="109"/>
      <c r="GZ893" s="111"/>
      <c r="HA893" s="109"/>
      <c r="HB893" s="109"/>
      <c r="HC893" s="110"/>
      <c r="HD893" s="109"/>
      <c r="HE893" s="111"/>
      <c r="HF893" s="109"/>
      <c r="HG893" s="109"/>
      <c r="HH893" s="110"/>
      <c r="HI893" s="109"/>
      <c r="HJ893" s="111"/>
      <c r="HK893" s="109"/>
      <c r="HL893" s="109"/>
      <c r="HM893" s="110"/>
      <c r="HN893" s="109"/>
      <c r="HO893" s="111"/>
      <c r="HP893" s="109"/>
      <c r="HQ893" s="109"/>
      <c r="HR893" s="110"/>
      <c r="HS893" s="109"/>
      <c r="HT893" s="111"/>
      <c r="HU893" s="109"/>
      <c r="HV893" s="109"/>
      <c r="HW893" s="110"/>
      <c r="HX893" s="109"/>
      <c r="HY893" s="111"/>
      <c r="HZ893" s="109"/>
      <c r="IA893" s="109"/>
      <c r="IB893" s="110"/>
      <c r="IC893" s="109"/>
      <c r="ID893" s="111"/>
      <c r="IE893" s="109"/>
      <c r="IF893" s="109"/>
      <c r="IG893" s="110"/>
      <c r="IH893" s="109"/>
      <c r="II893" s="111"/>
      <c r="IJ893" s="109"/>
      <c r="IK893" s="109"/>
      <c r="IL893" s="110"/>
      <c r="IM893" s="109"/>
      <c r="IN893" s="111"/>
      <c r="IO893" s="109"/>
      <c r="IP893" s="109"/>
      <c r="IQ893" s="110"/>
      <c r="IR893" s="109"/>
      <c r="IS893" s="111"/>
      <c r="IT893" s="109"/>
      <c r="IU893" s="109"/>
      <c r="IV893" s="110"/>
    </row>
    <row r="894" spans="1:256" s="123" customFormat="1" ht="14.25">
      <c r="A894" s="134">
        <v>37152</v>
      </c>
      <c r="B894" s="111">
        <v>56.5848</v>
      </c>
      <c r="C894" s="111">
        <f t="shared" si="14"/>
        <v>0.056584800000000005</v>
      </c>
      <c r="D894" s="111">
        <v>35.2476</v>
      </c>
      <c r="E894" s="111">
        <v>38.0274</v>
      </c>
      <c r="F894" s="131"/>
      <c r="G894" s="109"/>
      <c r="H894" s="111"/>
      <c r="I894" s="109"/>
      <c r="J894" s="109"/>
      <c r="K894" s="110"/>
      <c r="L894" s="109"/>
      <c r="M894" s="111"/>
      <c r="N894" s="109"/>
      <c r="O894" s="109"/>
      <c r="P894" s="110"/>
      <c r="Q894" s="109"/>
      <c r="R894" s="111"/>
      <c r="S894" s="109"/>
      <c r="T894" s="109"/>
      <c r="U894" s="110"/>
      <c r="V894" s="109"/>
      <c r="W894" s="111"/>
      <c r="X894" s="109"/>
      <c r="Y894" s="109"/>
      <c r="Z894" s="110"/>
      <c r="AA894" s="109"/>
      <c r="AB894" s="111"/>
      <c r="AC894" s="109"/>
      <c r="AD894" s="109"/>
      <c r="AE894" s="110"/>
      <c r="AF894" s="109"/>
      <c r="AG894" s="111"/>
      <c r="AH894" s="109"/>
      <c r="AI894" s="109"/>
      <c r="AJ894" s="110"/>
      <c r="AK894" s="109"/>
      <c r="AL894" s="111"/>
      <c r="AM894" s="109"/>
      <c r="AN894" s="109"/>
      <c r="AO894" s="110"/>
      <c r="AP894" s="109"/>
      <c r="AQ894" s="111"/>
      <c r="AR894" s="109"/>
      <c r="AS894" s="109"/>
      <c r="AT894" s="110"/>
      <c r="AU894" s="109"/>
      <c r="AV894" s="111"/>
      <c r="AW894" s="109"/>
      <c r="AX894" s="109"/>
      <c r="AY894" s="110"/>
      <c r="AZ894" s="109"/>
      <c r="BA894" s="111"/>
      <c r="BB894" s="109"/>
      <c r="BC894" s="109"/>
      <c r="BD894" s="110"/>
      <c r="BE894" s="109"/>
      <c r="BF894" s="111"/>
      <c r="BG894" s="109"/>
      <c r="BH894" s="109"/>
      <c r="BI894" s="110"/>
      <c r="BJ894" s="109"/>
      <c r="BK894" s="111"/>
      <c r="BL894" s="109"/>
      <c r="BM894" s="109"/>
      <c r="BN894" s="110"/>
      <c r="BO894" s="109"/>
      <c r="BP894" s="111"/>
      <c r="BQ894" s="109"/>
      <c r="BR894" s="109"/>
      <c r="BS894" s="110"/>
      <c r="BT894" s="109"/>
      <c r="BU894" s="111"/>
      <c r="BV894" s="109"/>
      <c r="BW894" s="109"/>
      <c r="BX894" s="110"/>
      <c r="BY894" s="109"/>
      <c r="BZ894" s="111"/>
      <c r="CA894" s="109"/>
      <c r="CB894" s="109"/>
      <c r="CC894" s="110"/>
      <c r="CD894" s="109"/>
      <c r="CE894" s="111"/>
      <c r="CF894" s="109"/>
      <c r="CG894" s="109"/>
      <c r="CH894" s="110"/>
      <c r="CI894" s="109"/>
      <c r="CJ894" s="111"/>
      <c r="CK894" s="109"/>
      <c r="CL894" s="109"/>
      <c r="CM894" s="110"/>
      <c r="CN894" s="109"/>
      <c r="CO894" s="111"/>
      <c r="CP894" s="109"/>
      <c r="CQ894" s="109"/>
      <c r="CR894" s="110"/>
      <c r="CS894" s="109"/>
      <c r="CT894" s="111"/>
      <c r="CU894" s="109"/>
      <c r="CV894" s="109"/>
      <c r="CW894" s="110"/>
      <c r="CX894" s="109"/>
      <c r="CY894" s="111"/>
      <c r="CZ894" s="109"/>
      <c r="DA894" s="109"/>
      <c r="DB894" s="110"/>
      <c r="DC894" s="109"/>
      <c r="DD894" s="111"/>
      <c r="DE894" s="109"/>
      <c r="DF894" s="109"/>
      <c r="DG894" s="110"/>
      <c r="DH894" s="109"/>
      <c r="DI894" s="111"/>
      <c r="DJ894" s="109"/>
      <c r="DK894" s="109"/>
      <c r="DL894" s="110"/>
      <c r="DM894" s="109"/>
      <c r="DN894" s="111"/>
      <c r="DO894" s="109"/>
      <c r="DP894" s="109"/>
      <c r="DQ894" s="110"/>
      <c r="DR894" s="109"/>
      <c r="DS894" s="111"/>
      <c r="DT894" s="109"/>
      <c r="DU894" s="109"/>
      <c r="DV894" s="110"/>
      <c r="DW894" s="109"/>
      <c r="DX894" s="111"/>
      <c r="DY894" s="109"/>
      <c r="DZ894" s="109"/>
      <c r="EA894" s="110"/>
      <c r="EB894" s="109"/>
      <c r="EC894" s="111"/>
      <c r="ED894" s="109"/>
      <c r="EE894" s="109"/>
      <c r="EF894" s="110"/>
      <c r="EG894" s="109"/>
      <c r="EH894" s="111"/>
      <c r="EI894" s="109"/>
      <c r="EJ894" s="109"/>
      <c r="EK894" s="110"/>
      <c r="EL894" s="109"/>
      <c r="EM894" s="111"/>
      <c r="EN894" s="109"/>
      <c r="EO894" s="109"/>
      <c r="EP894" s="110"/>
      <c r="EQ894" s="109"/>
      <c r="ER894" s="111"/>
      <c r="ES894" s="109"/>
      <c r="ET894" s="109"/>
      <c r="EU894" s="110"/>
      <c r="EV894" s="109"/>
      <c r="EW894" s="111"/>
      <c r="EX894" s="109"/>
      <c r="EY894" s="109"/>
      <c r="EZ894" s="110"/>
      <c r="FA894" s="109"/>
      <c r="FB894" s="111"/>
      <c r="FC894" s="109"/>
      <c r="FD894" s="109"/>
      <c r="FE894" s="110"/>
      <c r="FF894" s="109"/>
      <c r="FG894" s="111"/>
      <c r="FH894" s="109"/>
      <c r="FI894" s="109"/>
      <c r="FJ894" s="110"/>
      <c r="FK894" s="109"/>
      <c r="FL894" s="111"/>
      <c r="FM894" s="109"/>
      <c r="FN894" s="109"/>
      <c r="FO894" s="110"/>
      <c r="FP894" s="109"/>
      <c r="FQ894" s="111"/>
      <c r="FR894" s="109"/>
      <c r="FS894" s="109"/>
      <c r="FT894" s="110"/>
      <c r="FU894" s="109"/>
      <c r="FV894" s="111"/>
      <c r="FW894" s="109"/>
      <c r="FX894" s="109"/>
      <c r="FY894" s="110"/>
      <c r="FZ894" s="109"/>
      <c r="GA894" s="111"/>
      <c r="GB894" s="109"/>
      <c r="GC894" s="109"/>
      <c r="GD894" s="110"/>
      <c r="GE894" s="109"/>
      <c r="GF894" s="111"/>
      <c r="GG894" s="109"/>
      <c r="GH894" s="109"/>
      <c r="GI894" s="110"/>
      <c r="GJ894" s="109"/>
      <c r="GK894" s="111"/>
      <c r="GL894" s="109"/>
      <c r="GM894" s="109"/>
      <c r="GN894" s="110"/>
      <c r="GO894" s="109"/>
      <c r="GP894" s="111"/>
      <c r="GQ894" s="109"/>
      <c r="GR894" s="109"/>
      <c r="GS894" s="110"/>
      <c r="GT894" s="109"/>
      <c r="GU894" s="111"/>
      <c r="GV894" s="109"/>
      <c r="GW894" s="109"/>
      <c r="GX894" s="110"/>
      <c r="GY894" s="109"/>
      <c r="GZ894" s="111"/>
      <c r="HA894" s="109"/>
      <c r="HB894" s="109"/>
      <c r="HC894" s="110"/>
      <c r="HD894" s="109"/>
      <c r="HE894" s="111"/>
      <c r="HF894" s="109"/>
      <c r="HG894" s="109"/>
      <c r="HH894" s="110"/>
      <c r="HI894" s="109"/>
      <c r="HJ894" s="111"/>
      <c r="HK894" s="109"/>
      <c r="HL894" s="109"/>
      <c r="HM894" s="110"/>
      <c r="HN894" s="109"/>
      <c r="HO894" s="111"/>
      <c r="HP894" s="109"/>
      <c r="HQ894" s="109"/>
      <c r="HR894" s="110"/>
      <c r="HS894" s="109"/>
      <c r="HT894" s="111"/>
      <c r="HU894" s="109"/>
      <c r="HV894" s="109"/>
      <c r="HW894" s="110"/>
      <c r="HX894" s="109"/>
      <c r="HY894" s="111"/>
      <c r="HZ894" s="109"/>
      <c r="IA894" s="109"/>
      <c r="IB894" s="110"/>
      <c r="IC894" s="109"/>
      <c r="ID894" s="111"/>
      <c r="IE894" s="109"/>
      <c r="IF894" s="109"/>
      <c r="IG894" s="110"/>
      <c r="IH894" s="109"/>
      <c r="II894" s="111"/>
      <c r="IJ894" s="109"/>
      <c r="IK894" s="109"/>
      <c r="IL894" s="110"/>
      <c r="IM894" s="109"/>
      <c r="IN894" s="111"/>
      <c r="IO894" s="109"/>
      <c r="IP894" s="109"/>
      <c r="IQ894" s="110"/>
      <c r="IR894" s="109"/>
      <c r="IS894" s="111"/>
      <c r="IT894" s="109"/>
      <c r="IU894" s="109"/>
      <c r="IV894" s="110"/>
    </row>
    <row r="895" spans="1:256" s="123" customFormat="1" ht="14.25">
      <c r="A895" s="134">
        <v>37153</v>
      </c>
      <c r="B895" s="111">
        <v>52.7241</v>
      </c>
      <c r="C895" s="111">
        <f t="shared" si="14"/>
        <v>0.0527241</v>
      </c>
      <c r="D895" s="111">
        <v>33.0007</v>
      </c>
      <c r="E895" s="111">
        <v>35.6533</v>
      </c>
      <c r="F895" s="131"/>
      <c r="G895" s="109"/>
      <c r="H895" s="111"/>
      <c r="I895" s="109"/>
      <c r="J895" s="109"/>
      <c r="K895" s="110"/>
      <c r="L895" s="109"/>
      <c r="M895" s="111"/>
      <c r="N895" s="109"/>
      <c r="O895" s="109"/>
      <c r="P895" s="110"/>
      <c r="Q895" s="109"/>
      <c r="R895" s="111"/>
      <c r="S895" s="109"/>
      <c r="T895" s="109"/>
      <c r="U895" s="110"/>
      <c r="V895" s="109"/>
      <c r="W895" s="111"/>
      <c r="X895" s="109"/>
      <c r="Y895" s="109"/>
      <c r="Z895" s="110"/>
      <c r="AA895" s="109"/>
      <c r="AB895" s="111"/>
      <c r="AC895" s="109"/>
      <c r="AD895" s="109"/>
      <c r="AE895" s="110"/>
      <c r="AF895" s="109"/>
      <c r="AG895" s="111"/>
      <c r="AH895" s="109"/>
      <c r="AI895" s="109"/>
      <c r="AJ895" s="110"/>
      <c r="AK895" s="109"/>
      <c r="AL895" s="111"/>
      <c r="AM895" s="109"/>
      <c r="AN895" s="109"/>
      <c r="AO895" s="110"/>
      <c r="AP895" s="109"/>
      <c r="AQ895" s="111"/>
      <c r="AR895" s="109"/>
      <c r="AS895" s="109"/>
      <c r="AT895" s="110"/>
      <c r="AU895" s="109"/>
      <c r="AV895" s="111"/>
      <c r="AW895" s="109"/>
      <c r="AX895" s="109"/>
      <c r="AY895" s="110"/>
      <c r="AZ895" s="109"/>
      <c r="BA895" s="111"/>
      <c r="BB895" s="109"/>
      <c r="BC895" s="109"/>
      <c r="BD895" s="110"/>
      <c r="BE895" s="109"/>
      <c r="BF895" s="111"/>
      <c r="BG895" s="109"/>
      <c r="BH895" s="109"/>
      <c r="BI895" s="110"/>
      <c r="BJ895" s="109"/>
      <c r="BK895" s="111"/>
      <c r="BL895" s="109"/>
      <c r="BM895" s="109"/>
      <c r="BN895" s="110"/>
      <c r="BO895" s="109"/>
      <c r="BP895" s="111"/>
      <c r="BQ895" s="109"/>
      <c r="BR895" s="109"/>
      <c r="BS895" s="110"/>
      <c r="BT895" s="109"/>
      <c r="BU895" s="111"/>
      <c r="BV895" s="109"/>
      <c r="BW895" s="109"/>
      <c r="BX895" s="110"/>
      <c r="BY895" s="109"/>
      <c r="BZ895" s="111"/>
      <c r="CA895" s="109"/>
      <c r="CB895" s="109"/>
      <c r="CC895" s="110"/>
      <c r="CD895" s="109"/>
      <c r="CE895" s="111"/>
      <c r="CF895" s="109"/>
      <c r="CG895" s="109"/>
      <c r="CH895" s="110"/>
      <c r="CI895" s="109"/>
      <c r="CJ895" s="111"/>
      <c r="CK895" s="109"/>
      <c r="CL895" s="109"/>
      <c r="CM895" s="110"/>
      <c r="CN895" s="109"/>
      <c r="CO895" s="111"/>
      <c r="CP895" s="109"/>
      <c r="CQ895" s="109"/>
      <c r="CR895" s="110"/>
      <c r="CS895" s="109"/>
      <c r="CT895" s="111"/>
      <c r="CU895" s="109"/>
      <c r="CV895" s="109"/>
      <c r="CW895" s="110"/>
      <c r="CX895" s="109"/>
      <c r="CY895" s="111"/>
      <c r="CZ895" s="109"/>
      <c r="DA895" s="109"/>
      <c r="DB895" s="110"/>
      <c r="DC895" s="109"/>
      <c r="DD895" s="111"/>
      <c r="DE895" s="109"/>
      <c r="DF895" s="109"/>
      <c r="DG895" s="110"/>
      <c r="DH895" s="109"/>
      <c r="DI895" s="111"/>
      <c r="DJ895" s="109"/>
      <c r="DK895" s="109"/>
      <c r="DL895" s="110"/>
      <c r="DM895" s="109"/>
      <c r="DN895" s="111"/>
      <c r="DO895" s="109"/>
      <c r="DP895" s="109"/>
      <c r="DQ895" s="110"/>
      <c r="DR895" s="109"/>
      <c r="DS895" s="111"/>
      <c r="DT895" s="109"/>
      <c r="DU895" s="109"/>
      <c r="DV895" s="110"/>
      <c r="DW895" s="109"/>
      <c r="DX895" s="111"/>
      <c r="DY895" s="109"/>
      <c r="DZ895" s="109"/>
      <c r="EA895" s="110"/>
      <c r="EB895" s="109"/>
      <c r="EC895" s="111"/>
      <c r="ED895" s="109"/>
      <c r="EE895" s="109"/>
      <c r="EF895" s="110"/>
      <c r="EG895" s="109"/>
      <c r="EH895" s="111"/>
      <c r="EI895" s="109"/>
      <c r="EJ895" s="109"/>
      <c r="EK895" s="110"/>
      <c r="EL895" s="109"/>
      <c r="EM895" s="111"/>
      <c r="EN895" s="109"/>
      <c r="EO895" s="109"/>
      <c r="EP895" s="110"/>
      <c r="EQ895" s="109"/>
      <c r="ER895" s="111"/>
      <c r="ES895" s="109"/>
      <c r="ET895" s="109"/>
      <c r="EU895" s="110"/>
      <c r="EV895" s="109"/>
      <c r="EW895" s="111"/>
      <c r="EX895" s="109"/>
      <c r="EY895" s="109"/>
      <c r="EZ895" s="110"/>
      <c r="FA895" s="109"/>
      <c r="FB895" s="111"/>
      <c r="FC895" s="109"/>
      <c r="FD895" s="109"/>
      <c r="FE895" s="110"/>
      <c r="FF895" s="109"/>
      <c r="FG895" s="111"/>
      <c r="FH895" s="109"/>
      <c r="FI895" s="109"/>
      <c r="FJ895" s="110"/>
      <c r="FK895" s="109"/>
      <c r="FL895" s="111"/>
      <c r="FM895" s="109"/>
      <c r="FN895" s="109"/>
      <c r="FO895" s="110"/>
      <c r="FP895" s="109"/>
      <c r="FQ895" s="111"/>
      <c r="FR895" s="109"/>
      <c r="FS895" s="109"/>
      <c r="FT895" s="110"/>
      <c r="FU895" s="109"/>
      <c r="FV895" s="111"/>
      <c r="FW895" s="109"/>
      <c r="FX895" s="109"/>
      <c r="FY895" s="110"/>
      <c r="FZ895" s="109"/>
      <c r="GA895" s="111"/>
      <c r="GB895" s="109"/>
      <c r="GC895" s="109"/>
      <c r="GD895" s="110"/>
      <c r="GE895" s="109"/>
      <c r="GF895" s="111"/>
      <c r="GG895" s="109"/>
      <c r="GH895" s="109"/>
      <c r="GI895" s="110"/>
      <c r="GJ895" s="109"/>
      <c r="GK895" s="111"/>
      <c r="GL895" s="109"/>
      <c r="GM895" s="109"/>
      <c r="GN895" s="110"/>
      <c r="GO895" s="109"/>
      <c r="GP895" s="111"/>
      <c r="GQ895" s="109"/>
      <c r="GR895" s="109"/>
      <c r="GS895" s="110"/>
      <c r="GT895" s="109"/>
      <c r="GU895" s="111"/>
      <c r="GV895" s="109"/>
      <c r="GW895" s="109"/>
      <c r="GX895" s="110"/>
      <c r="GY895" s="109"/>
      <c r="GZ895" s="111"/>
      <c r="HA895" s="109"/>
      <c r="HB895" s="109"/>
      <c r="HC895" s="110"/>
      <c r="HD895" s="109"/>
      <c r="HE895" s="111"/>
      <c r="HF895" s="109"/>
      <c r="HG895" s="109"/>
      <c r="HH895" s="110"/>
      <c r="HI895" s="109"/>
      <c r="HJ895" s="111"/>
      <c r="HK895" s="109"/>
      <c r="HL895" s="109"/>
      <c r="HM895" s="110"/>
      <c r="HN895" s="109"/>
      <c r="HO895" s="111"/>
      <c r="HP895" s="109"/>
      <c r="HQ895" s="109"/>
      <c r="HR895" s="110"/>
      <c r="HS895" s="109"/>
      <c r="HT895" s="111"/>
      <c r="HU895" s="109"/>
      <c r="HV895" s="109"/>
      <c r="HW895" s="110"/>
      <c r="HX895" s="109"/>
      <c r="HY895" s="111"/>
      <c r="HZ895" s="109"/>
      <c r="IA895" s="109"/>
      <c r="IB895" s="110"/>
      <c r="IC895" s="109"/>
      <c r="ID895" s="111"/>
      <c r="IE895" s="109"/>
      <c r="IF895" s="109"/>
      <c r="IG895" s="110"/>
      <c r="IH895" s="109"/>
      <c r="II895" s="111"/>
      <c r="IJ895" s="109"/>
      <c r="IK895" s="109"/>
      <c r="IL895" s="110"/>
      <c r="IM895" s="109"/>
      <c r="IN895" s="111"/>
      <c r="IO895" s="109"/>
      <c r="IP895" s="109"/>
      <c r="IQ895" s="110"/>
      <c r="IR895" s="109"/>
      <c r="IS895" s="111"/>
      <c r="IT895" s="109"/>
      <c r="IU895" s="109"/>
      <c r="IV895" s="110"/>
    </row>
    <row r="896" spans="1:256" s="123" customFormat="1" ht="14.25">
      <c r="A896" s="134">
        <v>37154</v>
      </c>
      <c r="B896" s="111">
        <v>52.7892</v>
      </c>
      <c r="C896" s="111">
        <f t="shared" si="14"/>
        <v>0.0527892</v>
      </c>
      <c r="D896" s="111">
        <v>32.9439</v>
      </c>
      <c r="E896" s="111">
        <v>35.5842</v>
      </c>
      <c r="F896" s="131"/>
      <c r="G896" s="109"/>
      <c r="H896" s="111"/>
      <c r="I896" s="109"/>
      <c r="J896" s="109"/>
      <c r="K896" s="110"/>
      <c r="L896" s="109"/>
      <c r="M896" s="111"/>
      <c r="N896" s="109"/>
      <c r="O896" s="109"/>
      <c r="P896" s="110"/>
      <c r="Q896" s="109"/>
      <c r="R896" s="111"/>
      <c r="S896" s="109"/>
      <c r="T896" s="109"/>
      <c r="U896" s="110"/>
      <c r="V896" s="109"/>
      <c r="W896" s="111"/>
      <c r="X896" s="109"/>
      <c r="Y896" s="109"/>
      <c r="Z896" s="110"/>
      <c r="AA896" s="109"/>
      <c r="AB896" s="111"/>
      <c r="AC896" s="109"/>
      <c r="AD896" s="109"/>
      <c r="AE896" s="110"/>
      <c r="AF896" s="109"/>
      <c r="AG896" s="111"/>
      <c r="AH896" s="109"/>
      <c r="AI896" s="109"/>
      <c r="AJ896" s="110"/>
      <c r="AK896" s="109"/>
      <c r="AL896" s="111"/>
      <c r="AM896" s="109"/>
      <c r="AN896" s="109"/>
      <c r="AO896" s="110"/>
      <c r="AP896" s="109"/>
      <c r="AQ896" s="111"/>
      <c r="AR896" s="109"/>
      <c r="AS896" s="109"/>
      <c r="AT896" s="110"/>
      <c r="AU896" s="109"/>
      <c r="AV896" s="111"/>
      <c r="AW896" s="109"/>
      <c r="AX896" s="109"/>
      <c r="AY896" s="110"/>
      <c r="AZ896" s="109"/>
      <c r="BA896" s="111"/>
      <c r="BB896" s="109"/>
      <c r="BC896" s="109"/>
      <c r="BD896" s="110"/>
      <c r="BE896" s="109"/>
      <c r="BF896" s="111"/>
      <c r="BG896" s="109"/>
      <c r="BH896" s="109"/>
      <c r="BI896" s="110"/>
      <c r="BJ896" s="109"/>
      <c r="BK896" s="111"/>
      <c r="BL896" s="109"/>
      <c r="BM896" s="109"/>
      <c r="BN896" s="110"/>
      <c r="BO896" s="109"/>
      <c r="BP896" s="111"/>
      <c r="BQ896" s="109"/>
      <c r="BR896" s="109"/>
      <c r="BS896" s="110"/>
      <c r="BT896" s="109"/>
      <c r="BU896" s="111"/>
      <c r="BV896" s="109"/>
      <c r="BW896" s="109"/>
      <c r="BX896" s="110"/>
      <c r="BY896" s="109"/>
      <c r="BZ896" s="111"/>
      <c r="CA896" s="109"/>
      <c r="CB896" s="109"/>
      <c r="CC896" s="110"/>
      <c r="CD896" s="109"/>
      <c r="CE896" s="111"/>
      <c r="CF896" s="109"/>
      <c r="CG896" s="109"/>
      <c r="CH896" s="110"/>
      <c r="CI896" s="109"/>
      <c r="CJ896" s="111"/>
      <c r="CK896" s="109"/>
      <c r="CL896" s="109"/>
      <c r="CM896" s="110"/>
      <c r="CN896" s="109"/>
      <c r="CO896" s="111"/>
      <c r="CP896" s="109"/>
      <c r="CQ896" s="109"/>
      <c r="CR896" s="110"/>
      <c r="CS896" s="109"/>
      <c r="CT896" s="111"/>
      <c r="CU896" s="109"/>
      <c r="CV896" s="109"/>
      <c r="CW896" s="110"/>
      <c r="CX896" s="109"/>
      <c r="CY896" s="111"/>
      <c r="CZ896" s="109"/>
      <c r="DA896" s="109"/>
      <c r="DB896" s="110"/>
      <c r="DC896" s="109"/>
      <c r="DD896" s="111"/>
      <c r="DE896" s="109"/>
      <c r="DF896" s="109"/>
      <c r="DG896" s="110"/>
      <c r="DH896" s="109"/>
      <c r="DI896" s="111"/>
      <c r="DJ896" s="109"/>
      <c r="DK896" s="109"/>
      <c r="DL896" s="110"/>
      <c r="DM896" s="109"/>
      <c r="DN896" s="111"/>
      <c r="DO896" s="109"/>
      <c r="DP896" s="109"/>
      <c r="DQ896" s="110"/>
      <c r="DR896" s="109"/>
      <c r="DS896" s="111"/>
      <c r="DT896" s="109"/>
      <c r="DU896" s="109"/>
      <c r="DV896" s="110"/>
      <c r="DW896" s="109"/>
      <c r="DX896" s="111"/>
      <c r="DY896" s="109"/>
      <c r="DZ896" s="109"/>
      <c r="EA896" s="110"/>
      <c r="EB896" s="109"/>
      <c r="EC896" s="111"/>
      <c r="ED896" s="109"/>
      <c r="EE896" s="109"/>
      <c r="EF896" s="110"/>
      <c r="EG896" s="109"/>
      <c r="EH896" s="111"/>
      <c r="EI896" s="109"/>
      <c r="EJ896" s="109"/>
      <c r="EK896" s="110"/>
      <c r="EL896" s="109"/>
      <c r="EM896" s="111"/>
      <c r="EN896" s="109"/>
      <c r="EO896" s="109"/>
      <c r="EP896" s="110"/>
      <c r="EQ896" s="109"/>
      <c r="ER896" s="111"/>
      <c r="ES896" s="109"/>
      <c r="ET896" s="109"/>
      <c r="EU896" s="110"/>
      <c r="EV896" s="109"/>
      <c r="EW896" s="111"/>
      <c r="EX896" s="109"/>
      <c r="EY896" s="109"/>
      <c r="EZ896" s="110"/>
      <c r="FA896" s="109"/>
      <c r="FB896" s="111"/>
      <c r="FC896" s="109"/>
      <c r="FD896" s="109"/>
      <c r="FE896" s="110"/>
      <c r="FF896" s="109"/>
      <c r="FG896" s="111"/>
      <c r="FH896" s="109"/>
      <c r="FI896" s="109"/>
      <c r="FJ896" s="110"/>
      <c r="FK896" s="109"/>
      <c r="FL896" s="111"/>
      <c r="FM896" s="109"/>
      <c r="FN896" s="109"/>
      <c r="FO896" s="110"/>
      <c r="FP896" s="109"/>
      <c r="FQ896" s="111"/>
      <c r="FR896" s="109"/>
      <c r="FS896" s="109"/>
      <c r="FT896" s="110"/>
      <c r="FU896" s="109"/>
      <c r="FV896" s="111"/>
      <c r="FW896" s="109"/>
      <c r="FX896" s="109"/>
      <c r="FY896" s="110"/>
      <c r="FZ896" s="109"/>
      <c r="GA896" s="111"/>
      <c r="GB896" s="109"/>
      <c r="GC896" s="109"/>
      <c r="GD896" s="110"/>
      <c r="GE896" s="109"/>
      <c r="GF896" s="111"/>
      <c r="GG896" s="109"/>
      <c r="GH896" s="109"/>
      <c r="GI896" s="110"/>
      <c r="GJ896" s="109"/>
      <c r="GK896" s="111"/>
      <c r="GL896" s="109"/>
      <c r="GM896" s="109"/>
      <c r="GN896" s="110"/>
      <c r="GO896" s="109"/>
      <c r="GP896" s="111"/>
      <c r="GQ896" s="109"/>
      <c r="GR896" s="109"/>
      <c r="GS896" s="110"/>
      <c r="GT896" s="109"/>
      <c r="GU896" s="111"/>
      <c r="GV896" s="109"/>
      <c r="GW896" s="109"/>
      <c r="GX896" s="110"/>
      <c r="GY896" s="109"/>
      <c r="GZ896" s="111"/>
      <c r="HA896" s="109"/>
      <c r="HB896" s="109"/>
      <c r="HC896" s="110"/>
      <c r="HD896" s="109"/>
      <c r="HE896" s="111"/>
      <c r="HF896" s="109"/>
      <c r="HG896" s="109"/>
      <c r="HH896" s="110"/>
      <c r="HI896" s="109"/>
      <c r="HJ896" s="111"/>
      <c r="HK896" s="109"/>
      <c r="HL896" s="109"/>
      <c r="HM896" s="110"/>
      <c r="HN896" s="109"/>
      <c r="HO896" s="111"/>
      <c r="HP896" s="109"/>
      <c r="HQ896" s="109"/>
      <c r="HR896" s="110"/>
      <c r="HS896" s="109"/>
      <c r="HT896" s="111"/>
      <c r="HU896" s="109"/>
      <c r="HV896" s="109"/>
      <c r="HW896" s="110"/>
      <c r="HX896" s="109"/>
      <c r="HY896" s="111"/>
      <c r="HZ896" s="109"/>
      <c r="IA896" s="109"/>
      <c r="IB896" s="110"/>
      <c r="IC896" s="109"/>
      <c r="ID896" s="111"/>
      <c r="IE896" s="109"/>
      <c r="IF896" s="109"/>
      <c r="IG896" s="110"/>
      <c r="IH896" s="109"/>
      <c r="II896" s="111"/>
      <c r="IJ896" s="109"/>
      <c r="IK896" s="109"/>
      <c r="IL896" s="110"/>
      <c r="IM896" s="109"/>
      <c r="IN896" s="111"/>
      <c r="IO896" s="109"/>
      <c r="IP896" s="109"/>
      <c r="IQ896" s="110"/>
      <c r="IR896" s="109"/>
      <c r="IS896" s="111"/>
      <c r="IT896" s="109"/>
      <c r="IU896" s="109"/>
      <c r="IV896" s="110"/>
    </row>
    <row r="897" spans="1:256" s="123" customFormat="1" ht="14.25">
      <c r="A897" s="134">
        <v>37155</v>
      </c>
      <c r="B897" s="111">
        <v>51.4966</v>
      </c>
      <c r="C897" s="111">
        <f t="shared" si="14"/>
        <v>0.051496600000000003</v>
      </c>
      <c r="D897" s="111">
        <v>32.3588</v>
      </c>
      <c r="E897" s="111">
        <v>34.9485</v>
      </c>
      <c r="F897" s="131"/>
      <c r="G897" s="109"/>
      <c r="H897" s="111"/>
      <c r="I897" s="109"/>
      <c r="J897" s="109"/>
      <c r="K897" s="110"/>
      <c r="L897" s="109"/>
      <c r="M897" s="111"/>
      <c r="N897" s="109"/>
      <c r="O897" s="109"/>
      <c r="P897" s="110"/>
      <c r="Q897" s="109"/>
      <c r="R897" s="111"/>
      <c r="S897" s="109"/>
      <c r="T897" s="109"/>
      <c r="U897" s="110"/>
      <c r="V897" s="109"/>
      <c r="W897" s="111"/>
      <c r="X897" s="109"/>
      <c r="Y897" s="109"/>
      <c r="Z897" s="110"/>
      <c r="AA897" s="109"/>
      <c r="AB897" s="111"/>
      <c r="AC897" s="109"/>
      <c r="AD897" s="109"/>
      <c r="AE897" s="110"/>
      <c r="AF897" s="109"/>
      <c r="AG897" s="111"/>
      <c r="AH897" s="109"/>
      <c r="AI897" s="109"/>
      <c r="AJ897" s="110"/>
      <c r="AK897" s="109"/>
      <c r="AL897" s="111"/>
      <c r="AM897" s="109"/>
      <c r="AN897" s="109"/>
      <c r="AO897" s="110"/>
      <c r="AP897" s="109"/>
      <c r="AQ897" s="111"/>
      <c r="AR897" s="109"/>
      <c r="AS897" s="109"/>
      <c r="AT897" s="110"/>
      <c r="AU897" s="109"/>
      <c r="AV897" s="111"/>
      <c r="AW897" s="109"/>
      <c r="AX897" s="109"/>
      <c r="AY897" s="110"/>
      <c r="AZ897" s="109"/>
      <c r="BA897" s="111"/>
      <c r="BB897" s="109"/>
      <c r="BC897" s="109"/>
      <c r="BD897" s="110"/>
      <c r="BE897" s="109"/>
      <c r="BF897" s="111"/>
      <c r="BG897" s="109"/>
      <c r="BH897" s="109"/>
      <c r="BI897" s="110"/>
      <c r="BJ897" s="109"/>
      <c r="BK897" s="111"/>
      <c r="BL897" s="109"/>
      <c r="BM897" s="109"/>
      <c r="BN897" s="110"/>
      <c r="BO897" s="109"/>
      <c r="BP897" s="111"/>
      <c r="BQ897" s="109"/>
      <c r="BR897" s="109"/>
      <c r="BS897" s="110"/>
      <c r="BT897" s="109"/>
      <c r="BU897" s="111"/>
      <c r="BV897" s="109"/>
      <c r="BW897" s="109"/>
      <c r="BX897" s="110"/>
      <c r="BY897" s="109"/>
      <c r="BZ897" s="111"/>
      <c r="CA897" s="109"/>
      <c r="CB897" s="109"/>
      <c r="CC897" s="110"/>
      <c r="CD897" s="109"/>
      <c r="CE897" s="111"/>
      <c r="CF897" s="109"/>
      <c r="CG897" s="109"/>
      <c r="CH897" s="110"/>
      <c r="CI897" s="109"/>
      <c r="CJ897" s="111"/>
      <c r="CK897" s="109"/>
      <c r="CL897" s="109"/>
      <c r="CM897" s="110"/>
      <c r="CN897" s="109"/>
      <c r="CO897" s="111"/>
      <c r="CP897" s="109"/>
      <c r="CQ897" s="109"/>
      <c r="CR897" s="110"/>
      <c r="CS897" s="109"/>
      <c r="CT897" s="111"/>
      <c r="CU897" s="109"/>
      <c r="CV897" s="109"/>
      <c r="CW897" s="110"/>
      <c r="CX897" s="109"/>
      <c r="CY897" s="111"/>
      <c r="CZ897" s="109"/>
      <c r="DA897" s="109"/>
      <c r="DB897" s="110"/>
      <c r="DC897" s="109"/>
      <c r="DD897" s="111"/>
      <c r="DE897" s="109"/>
      <c r="DF897" s="109"/>
      <c r="DG897" s="110"/>
      <c r="DH897" s="109"/>
      <c r="DI897" s="111"/>
      <c r="DJ897" s="109"/>
      <c r="DK897" s="109"/>
      <c r="DL897" s="110"/>
      <c r="DM897" s="109"/>
      <c r="DN897" s="111"/>
      <c r="DO897" s="109"/>
      <c r="DP897" s="109"/>
      <c r="DQ897" s="110"/>
      <c r="DR897" s="109"/>
      <c r="DS897" s="111"/>
      <c r="DT897" s="109"/>
      <c r="DU897" s="109"/>
      <c r="DV897" s="110"/>
      <c r="DW897" s="109"/>
      <c r="DX897" s="111"/>
      <c r="DY897" s="109"/>
      <c r="DZ897" s="109"/>
      <c r="EA897" s="110"/>
      <c r="EB897" s="109"/>
      <c r="EC897" s="111"/>
      <c r="ED897" s="109"/>
      <c r="EE897" s="109"/>
      <c r="EF897" s="110"/>
      <c r="EG897" s="109"/>
      <c r="EH897" s="111"/>
      <c r="EI897" s="109"/>
      <c r="EJ897" s="109"/>
      <c r="EK897" s="110"/>
      <c r="EL897" s="109"/>
      <c r="EM897" s="111"/>
      <c r="EN897" s="109"/>
      <c r="EO897" s="109"/>
      <c r="EP897" s="110"/>
      <c r="EQ897" s="109"/>
      <c r="ER897" s="111"/>
      <c r="ES897" s="109"/>
      <c r="ET897" s="109"/>
      <c r="EU897" s="110"/>
      <c r="EV897" s="109"/>
      <c r="EW897" s="111"/>
      <c r="EX897" s="109"/>
      <c r="EY897" s="109"/>
      <c r="EZ897" s="110"/>
      <c r="FA897" s="109"/>
      <c r="FB897" s="111"/>
      <c r="FC897" s="109"/>
      <c r="FD897" s="109"/>
      <c r="FE897" s="110"/>
      <c r="FF897" s="109"/>
      <c r="FG897" s="111"/>
      <c r="FH897" s="109"/>
      <c r="FI897" s="109"/>
      <c r="FJ897" s="110"/>
      <c r="FK897" s="109"/>
      <c r="FL897" s="111"/>
      <c r="FM897" s="109"/>
      <c r="FN897" s="109"/>
      <c r="FO897" s="110"/>
      <c r="FP897" s="109"/>
      <c r="FQ897" s="111"/>
      <c r="FR897" s="109"/>
      <c r="FS897" s="109"/>
      <c r="FT897" s="110"/>
      <c r="FU897" s="109"/>
      <c r="FV897" s="111"/>
      <c r="FW897" s="109"/>
      <c r="FX897" s="109"/>
      <c r="FY897" s="110"/>
      <c r="FZ897" s="109"/>
      <c r="GA897" s="111"/>
      <c r="GB897" s="109"/>
      <c r="GC897" s="109"/>
      <c r="GD897" s="110"/>
      <c r="GE897" s="109"/>
      <c r="GF897" s="111"/>
      <c r="GG897" s="109"/>
      <c r="GH897" s="109"/>
      <c r="GI897" s="110"/>
      <c r="GJ897" s="109"/>
      <c r="GK897" s="111"/>
      <c r="GL897" s="109"/>
      <c r="GM897" s="109"/>
      <c r="GN897" s="110"/>
      <c r="GO897" s="109"/>
      <c r="GP897" s="111"/>
      <c r="GQ897" s="109"/>
      <c r="GR897" s="109"/>
      <c r="GS897" s="110"/>
      <c r="GT897" s="109"/>
      <c r="GU897" s="111"/>
      <c r="GV897" s="109"/>
      <c r="GW897" s="109"/>
      <c r="GX897" s="110"/>
      <c r="GY897" s="109"/>
      <c r="GZ897" s="111"/>
      <c r="HA897" s="109"/>
      <c r="HB897" s="109"/>
      <c r="HC897" s="110"/>
      <c r="HD897" s="109"/>
      <c r="HE897" s="111"/>
      <c r="HF897" s="109"/>
      <c r="HG897" s="109"/>
      <c r="HH897" s="110"/>
      <c r="HI897" s="109"/>
      <c r="HJ897" s="111"/>
      <c r="HK897" s="109"/>
      <c r="HL897" s="109"/>
      <c r="HM897" s="110"/>
      <c r="HN897" s="109"/>
      <c r="HO897" s="111"/>
      <c r="HP897" s="109"/>
      <c r="HQ897" s="109"/>
      <c r="HR897" s="110"/>
      <c r="HS897" s="109"/>
      <c r="HT897" s="111"/>
      <c r="HU897" s="109"/>
      <c r="HV897" s="109"/>
      <c r="HW897" s="110"/>
      <c r="HX897" s="109"/>
      <c r="HY897" s="111"/>
      <c r="HZ897" s="109"/>
      <c r="IA897" s="109"/>
      <c r="IB897" s="110"/>
      <c r="IC897" s="109"/>
      <c r="ID897" s="111"/>
      <c r="IE897" s="109"/>
      <c r="IF897" s="109"/>
      <c r="IG897" s="110"/>
      <c r="IH897" s="109"/>
      <c r="II897" s="111"/>
      <c r="IJ897" s="109"/>
      <c r="IK897" s="109"/>
      <c r="IL897" s="110"/>
      <c r="IM897" s="109"/>
      <c r="IN897" s="111"/>
      <c r="IO897" s="109"/>
      <c r="IP897" s="109"/>
      <c r="IQ897" s="110"/>
      <c r="IR897" s="109"/>
      <c r="IS897" s="111"/>
      <c r="IT897" s="109"/>
      <c r="IU897" s="109"/>
      <c r="IV897" s="110"/>
    </row>
    <row r="898" spans="1:256" s="123" customFormat="1" ht="14.25">
      <c r="A898" s="134">
        <v>37158</v>
      </c>
      <c r="B898" s="111">
        <v>53.8711</v>
      </c>
      <c r="C898" s="111">
        <f t="shared" si="14"/>
        <v>0.0538711</v>
      </c>
      <c r="D898" s="111">
        <v>34.2653</v>
      </c>
      <c r="E898" s="111">
        <v>37.2449</v>
      </c>
      <c r="F898" s="131"/>
      <c r="G898" s="109"/>
      <c r="H898" s="111"/>
      <c r="I898" s="109"/>
      <c r="J898" s="109"/>
      <c r="K898" s="110"/>
      <c r="L898" s="109"/>
      <c r="M898" s="111"/>
      <c r="N898" s="109"/>
      <c r="O898" s="109"/>
      <c r="P898" s="110"/>
      <c r="Q898" s="109"/>
      <c r="R898" s="111"/>
      <c r="S898" s="109"/>
      <c r="T898" s="109"/>
      <c r="U898" s="110"/>
      <c r="V898" s="109"/>
      <c r="W898" s="111"/>
      <c r="X898" s="109"/>
      <c r="Y898" s="109"/>
      <c r="Z898" s="110"/>
      <c r="AA898" s="109"/>
      <c r="AB898" s="111"/>
      <c r="AC898" s="109"/>
      <c r="AD898" s="109"/>
      <c r="AE898" s="110"/>
      <c r="AF898" s="109"/>
      <c r="AG898" s="111"/>
      <c r="AH898" s="109"/>
      <c r="AI898" s="109"/>
      <c r="AJ898" s="110"/>
      <c r="AK898" s="109"/>
      <c r="AL898" s="111"/>
      <c r="AM898" s="109"/>
      <c r="AN898" s="109"/>
      <c r="AO898" s="110"/>
      <c r="AP898" s="109"/>
      <c r="AQ898" s="111"/>
      <c r="AR898" s="109"/>
      <c r="AS898" s="109"/>
      <c r="AT898" s="110"/>
      <c r="AU898" s="109"/>
      <c r="AV898" s="111"/>
      <c r="AW898" s="109"/>
      <c r="AX898" s="109"/>
      <c r="AY898" s="110"/>
      <c r="AZ898" s="109"/>
      <c r="BA898" s="111"/>
      <c r="BB898" s="109"/>
      <c r="BC898" s="109"/>
      <c r="BD898" s="110"/>
      <c r="BE898" s="109"/>
      <c r="BF898" s="111"/>
      <c r="BG898" s="109"/>
      <c r="BH898" s="109"/>
      <c r="BI898" s="110"/>
      <c r="BJ898" s="109"/>
      <c r="BK898" s="111"/>
      <c r="BL898" s="109"/>
      <c r="BM898" s="109"/>
      <c r="BN898" s="110"/>
      <c r="BO898" s="109"/>
      <c r="BP898" s="111"/>
      <c r="BQ898" s="109"/>
      <c r="BR898" s="109"/>
      <c r="BS898" s="110"/>
      <c r="BT898" s="109"/>
      <c r="BU898" s="111"/>
      <c r="BV898" s="109"/>
      <c r="BW898" s="109"/>
      <c r="BX898" s="110"/>
      <c r="BY898" s="109"/>
      <c r="BZ898" s="111"/>
      <c r="CA898" s="109"/>
      <c r="CB898" s="109"/>
      <c r="CC898" s="110"/>
      <c r="CD898" s="109"/>
      <c r="CE898" s="111"/>
      <c r="CF898" s="109"/>
      <c r="CG898" s="109"/>
      <c r="CH898" s="110"/>
      <c r="CI898" s="109"/>
      <c r="CJ898" s="111"/>
      <c r="CK898" s="109"/>
      <c r="CL898" s="109"/>
      <c r="CM898" s="110"/>
      <c r="CN898" s="109"/>
      <c r="CO898" s="111"/>
      <c r="CP898" s="109"/>
      <c r="CQ898" s="109"/>
      <c r="CR898" s="110"/>
      <c r="CS898" s="109"/>
      <c r="CT898" s="111"/>
      <c r="CU898" s="109"/>
      <c r="CV898" s="109"/>
      <c r="CW898" s="110"/>
      <c r="CX898" s="109"/>
      <c r="CY898" s="111"/>
      <c r="CZ898" s="109"/>
      <c r="DA898" s="109"/>
      <c r="DB898" s="110"/>
      <c r="DC898" s="109"/>
      <c r="DD898" s="111"/>
      <c r="DE898" s="109"/>
      <c r="DF898" s="109"/>
      <c r="DG898" s="110"/>
      <c r="DH898" s="109"/>
      <c r="DI898" s="111"/>
      <c r="DJ898" s="109"/>
      <c r="DK898" s="109"/>
      <c r="DL898" s="110"/>
      <c r="DM898" s="109"/>
      <c r="DN898" s="111"/>
      <c r="DO898" s="109"/>
      <c r="DP898" s="109"/>
      <c r="DQ898" s="110"/>
      <c r="DR898" s="109"/>
      <c r="DS898" s="111"/>
      <c r="DT898" s="109"/>
      <c r="DU898" s="109"/>
      <c r="DV898" s="110"/>
      <c r="DW898" s="109"/>
      <c r="DX898" s="111"/>
      <c r="DY898" s="109"/>
      <c r="DZ898" s="109"/>
      <c r="EA898" s="110"/>
      <c r="EB898" s="109"/>
      <c r="EC898" s="111"/>
      <c r="ED898" s="109"/>
      <c r="EE898" s="109"/>
      <c r="EF898" s="110"/>
      <c r="EG898" s="109"/>
      <c r="EH898" s="111"/>
      <c r="EI898" s="109"/>
      <c r="EJ898" s="109"/>
      <c r="EK898" s="110"/>
      <c r="EL898" s="109"/>
      <c r="EM898" s="111"/>
      <c r="EN898" s="109"/>
      <c r="EO898" s="109"/>
      <c r="EP898" s="110"/>
      <c r="EQ898" s="109"/>
      <c r="ER898" s="111"/>
      <c r="ES898" s="109"/>
      <c r="ET898" s="109"/>
      <c r="EU898" s="110"/>
      <c r="EV898" s="109"/>
      <c r="EW898" s="111"/>
      <c r="EX898" s="109"/>
      <c r="EY898" s="109"/>
      <c r="EZ898" s="110"/>
      <c r="FA898" s="109"/>
      <c r="FB898" s="111"/>
      <c r="FC898" s="109"/>
      <c r="FD898" s="109"/>
      <c r="FE898" s="110"/>
      <c r="FF898" s="109"/>
      <c r="FG898" s="111"/>
      <c r="FH898" s="109"/>
      <c r="FI898" s="109"/>
      <c r="FJ898" s="110"/>
      <c r="FK898" s="109"/>
      <c r="FL898" s="111"/>
      <c r="FM898" s="109"/>
      <c r="FN898" s="109"/>
      <c r="FO898" s="110"/>
      <c r="FP898" s="109"/>
      <c r="FQ898" s="111"/>
      <c r="FR898" s="109"/>
      <c r="FS898" s="109"/>
      <c r="FT898" s="110"/>
      <c r="FU898" s="109"/>
      <c r="FV898" s="111"/>
      <c r="FW898" s="109"/>
      <c r="FX898" s="109"/>
      <c r="FY898" s="110"/>
      <c r="FZ898" s="109"/>
      <c r="GA898" s="111"/>
      <c r="GB898" s="109"/>
      <c r="GC898" s="109"/>
      <c r="GD898" s="110"/>
      <c r="GE898" s="109"/>
      <c r="GF898" s="111"/>
      <c r="GG898" s="109"/>
      <c r="GH898" s="109"/>
      <c r="GI898" s="110"/>
      <c r="GJ898" s="109"/>
      <c r="GK898" s="111"/>
      <c r="GL898" s="109"/>
      <c r="GM898" s="109"/>
      <c r="GN898" s="110"/>
      <c r="GO898" s="109"/>
      <c r="GP898" s="111"/>
      <c r="GQ898" s="109"/>
      <c r="GR898" s="109"/>
      <c r="GS898" s="110"/>
      <c r="GT898" s="109"/>
      <c r="GU898" s="111"/>
      <c r="GV898" s="109"/>
      <c r="GW898" s="109"/>
      <c r="GX898" s="110"/>
      <c r="GY898" s="109"/>
      <c r="GZ898" s="111"/>
      <c r="HA898" s="109"/>
      <c r="HB898" s="109"/>
      <c r="HC898" s="110"/>
      <c r="HD898" s="109"/>
      <c r="HE898" s="111"/>
      <c r="HF898" s="109"/>
      <c r="HG898" s="109"/>
      <c r="HH898" s="110"/>
      <c r="HI898" s="109"/>
      <c r="HJ898" s="111"/>
      <c r="HK898" s="109"/>
      <c r="HL898" s="109"/>
      <c r="HM898" s="110"/>
      <c r="HN898" s="109"/>
      <c r="HO898" s="111"/>
      <c r="HP898" s="109"/>
      <c r="HQ898" s="109"/>
      <c r="HR898" s="110"/>
      <c r="HS898" s="109"/>
      <c r="HT898" s="111"/>
      <c r="HU898" s="109"/>
      <c r="HV898" s="109"/>
      <c r="HW898" s="110"/>
      <c r="HX898" s="109"/>
      <c r="HY898" s="111"/>
      <c r="HZ898" s="109"/>
      <c r="IA898" s="109"/>
      <c r="IB898" s="110"/>
      <c r="IC898" s="109"/>
      <c r="ID898" s="111"/>
      <c r="IE898" s="109"/>
      <c r="IF898" s="109"/>
      <c r="IG898" s="110"/>
      <c r="IH898" s="109"/>
      <c r="II898" s="111"/>
      <c r="IJ898" s="109"/>
      <c r="IK898" s="109"/>
      <c r="IL898" s="110"/>
      <c r="IM898" s="109"/>
      <c r="IN898" s="111"/>
      <c r="IO898" s="109"/>
      <c r="IP898" s="109"/>
      <c r="IQ898" s="110"/>
      <c r="IR898" s="109"/>
      <c r="IS898" s="111"/>
      <c r="IT898" s="109"/>
      <c r="IU898" s="109"/>
      <c r="IV898" s="110"/>
    </row>
    <row r="899" spans="1:256" s="123" customFormat="1" ht="14.25">
      <c r="A899" s="134">
        <v>37159</v>
      </c>
      <c r="B899" s="111">
        <v>52.2207</v>
      </c>
      <c r="C899" s="111">
        <f aca="true" t="shared" si="15" ref="C899:C962">B899*10^-3</f>
        <v>0.0522207</v>
      </c>
      <c r="D899" s="111">
        <v>32.7729</v>
      </c>
      <c r="E899" s="111">
        <v>35.7627</v>
      </c>
      <c r="F899" s="131"/>
      <c r="G899" s="109"/>
      <c r="H899" s="111"/>
      <c r="I899" s="109"/>
      <c r="J899" s="109"/>
      <c r="K899" s="110"/>
      <c r="L899" s="109"/>
      <c r="M899" s="111"/>
      <c r="N899" s="109"/>
      <c r="O899" s="109"/>
      <c r="P899" s="110"/>
      <c r="Q899" s="109"/>
      <c r="R899" s="111"/>
      <c r="S899" s="109"/>
      <c r="T899" s="109"/>
      <c r="U899" s="110"/>
      <c r="V899" s="109"/>
      <c r="W899" s="111"/>
      <c r="X899" s="109"/>
      <c r="Y899" s="109"/>
      <c r="Z899" s="110"/>
      <c r="AA899" s="109"/>
      <c r="AB899" s="111"/>
      <c r="AC899" s="109"/>
      <c r="AD899" s="109"/>
      <c r="AE899" s="110"/>
      <c r="AF899" s="109"/>
      <c r="AG899" s="111"/>
      <c r="AH899" s="109"/>
      <c r="AI899" s="109"/>
      <c r="AJ899" s="110"/>
      <c r="AK899" s="109"/>
      <c r="AL899" s="111"/>
      <c r="AM899" s="109"/>
      <c r="AN899" s="109"/>
      <c r="AO899" s="110"/>
      <c r="AP899" s="109"/>
      <c r="AQ899" s="111"/>
      <c r="AR899" s="109"/>
      <c r="AS899" s="109"/>
      <c r="AT899" s="110"/>
      <c r="AU899" s="109"/>
      <c r="AV899" s="111"/>
      <c r="AW899" s="109"/>
      <c r="AX899" s="109"/>
      <c r="AY899" s="110"/>
      <c r="AZ899" s="109"/>
      <c r="BA899" s="111"/>
      <c r="BB899" s="109"/>
      <c r="BC899" s="109"/>
      <c r="BD899" s="110"/>
      <c r="BE899" s="109"/>
      <c r="BF899" s="111"/>
      <c r="BG899" s="109"/>
      <c r="BH899" s="109"/>
      <c r="BI899" s="110"/>
      <c r="BJ899" s="109"/>
      <c r="BK899" s="111"/>
      <c r="BL899" s="109"/>
      <c r="BM899" s="109"/>
      <c r="BN899" s="110"/>
      <c r="BO899" s="109"/>
      <c r="BP899" s="111"/>
      <c r="BQ899" s="109"/>
      <c r="BR899" s="109"/>
      <c r="BS899" s="110"/>
      <c r="BT899" s="109"/>
      <c r="BU899" s="111"/>
      <c r="BV899" s="109"/>
      <c r="BW899" s="109"/>
      <c r="BX899" s="110"/>
      <c r="BY899" s="109"/>
      <c r="BZ899" s="111"/>
      <c r="CA899" s="109"/>
      <c r="CB899" s="109"/>
      <c r="CC899" s="110"/>
      <c r="CD899" s="109"/>
      <c r="CE899" s="111"/>
      <c r="CF899" s="109"/>
      <c r="CG899" s="109"/>
      <c r="CH899" s="110"/>
      <c r="CI899" s="109"/>
      <c r="CJ899" s="111"/>
      <c r="CK899" s="109"/>
      <c r="CL899" s="109"/>
      <c r="CM899" s="110"/>
      <c r="CN899" s="109"/>
      <c r="CO899" s="111"/>
      <c r="CP899" s="109"/>
      <c r="CQ899" s="109"/>
      <c r="CR899" s="110"/>
      <c r="CS899" s="109"/>
      <c r="CT899" s="111"/>
      <c r="CU899" s="109"/>
      <c r="CV899" s="109"/>
      <c r="CW899" s="110"/>
      <c r="CX899" s="109"/>
      <c r="CY899" s="111"/>
      <c r="CZ899" s="109"/>
      <c r="DA899" s="109"/>
      <c r="DB899" s="110"/>
      <c r="DC899" s="109"/>
      <c r="DD899" s="111"/>
      <c r="DE899" s="109"/>
      <c r="DF899" s="109"/>
      <c r="DG899" s="110"/>
      <c r="DH899" s="109"/>
      <c r="DI899" s="111"/>
      <c r="DJ899" s="109"/>
      <c r="DK899" s="109"/>
      <c r="DL899" s="110"/>
      <c r="DM899" s="109"/>
      <c r="DN899" s="111"/>
      <c r="DO899" s="109"/>
      <c r="DP899" s="109"/>
      <c r="DQ899" s="110"/>
      <c r="DR899" s="109"/>
      <c r="DS899" s="111"/>
      <c r="DT899" s="109"/>
      <c r="DU899" s="109"/>
      <c r="DV899" s="110"/>
      <c r="DW899" s="109"/>
      <c r="DX899" s="111"/>
      <c r="DY899" s="109"/>
      <c r="DZ899" s="109"/>
      <c r="EA899" s="110"/>
      <c r="EB899" s="109"/>
      <c r="EC899" s="111"/>
      <c r="ED899" s="109"/>
      <c r="EE899" s="109"/>
      <c r="EF899" s="110"/>
      <c r="EG899" s="109"/>
      <c r="EH899" s="111"/>
      <c r="EI899" s="109"/>
      <c r="EJ899" s="109"/>
      <c r="EK899" s="110"/>
      <c r="EL899" s="109"/>
      <c r="EM899" s="111"/>
      <c r="EN899" s="109"/>
      <c r="EO899" s="109"/>
      <c r="EP899" s="110"/>
      <c r="EQ899" s="109"/>
      <c r="ER899" s="111"/>
      <c r="ES899" s="109"/>
      <c r="ET899" s="109"/>
      <c r="EU899" s="110"/>
      <c r="EV899" s="109"/>
      <c r="EW899" s="111"/>
      <c r="EX899" s="109"/>
      <c r="EY899" s="109"/>
      <c r="EZ899" s="110"/>
      <c r="FA899" s="109"/>
      <c r="FB899" s="111"/>
      <c r="FC899" s="109"/>
      <c r="FD899" s="109"/>
      <c r="FE899" s="110"/>
      <c r="FF899" s="109"/>
      <c r="FG899" s="111"/>
      <c r="FH899" s="109"/>
      <c r="FI899" s="109"/>
      <c r="FJ899" s="110"/>
      <c r="FK899" s="109"/>
      <c r="FL899" s="111"/>
      <c r="FM899" s="109"/>
      <c r="FN899" s="109"/>
      <c r="FO899" s="110"/>
      <c r="FP899" s="109"/>
      <c r="FQ899" s="111"/>
      <c r="FR899" s="109"/>
      <c r="FS899" s="109"/>
      <c r="FT899" s="110"/>
      <c r="FU899" s="109"/>
      <c r="FV899" s="111"/>
      <c r="FW899" s="109"/>
      <c r="FX899" s="109"/>
      <c r="FY899" s="110"/>
      <c r="FZ899" s="109"/>
      <c r="GA899" s="111"/>
      <c r="GB899" s="109"/>
      <c r="GC899" s="109"/>
      <c r="GD899" s="110"/>
      <c r="GE899" s="109"/>
      <c r="GF899" s="111"/>
      <c r="GG899" s="109"/>
      <c r="GH899" s="109"/>
      <c r="GI899" s="110"/>
      <c r="GJ899" s="109"/>
      <c r="GK899" s="111"/>
      <c r="GL899" s="109"/>
      <c r="GM899" s="109"/>
      <c r="GN899" s="110"/>
      <c r="GO899" s="109"/>
      <c r="GP899" s="111"/>
      <c r="GQ899" s="109"/>
      <c r="GR899" s="109"/>
      <c r="GS899" s="110"/>
      <c r="GT899" s="109"/>
      <c r="GU899" s="111"/>
      <c r="GV899" s="109"/>
      <c r="GW899" s="109"/>
      <c r="GX899" s="110"/>
      <c r="GY899" s="109"/>
      <c r="GZ899" s="111"/>
      <c r="HA899" s="109"/>
      <c r="HB899" s="109"/>
      <c r="HC899" s="110"/>
      <c r="HD899" s="109"/>
      <c r="HE899" s="111"/>
      <c r="HF899" s="109"/>
      <c r="HG899" s="109"/>
      <c r="HH899" s="110"/>
      <c r="HI899" s="109"/>
      <c r="HJ899" s="111"/>
      <c r="HK899" s="109"/>
      <c r="HL899" s="109"/>
      <c r="HM899" s="110"/>
      <c r="HN899" s="109"/>
      <c r="HO899" s="111"/>
      <c r="HP899" s="109"/>
      <c r="HQ899" s="109"/>
      <c r="HR899" s="110"/>
      <c r="HS899" s="109"/>
      <c r="HT899" s="111"/>
      <c r="HU899" s="109"/>
      <c r="HV899" s="109"/>
      <c r="HW899" s="110"/>
      <c r="HX899" s="109"/>
      <c r="HY899" s="111"/>
      <c r="HZ899" s="109"/>
      <c r="IA899" s="109"/>
      <c r="IB899" s="110"/>
      <c r="IC899" s="109"/>
      <c r="ID899" s="111"/>
      <c r="IE899" s="109"/>
      <c r="IF899" s="109"/>
      <c r="IG899" s="110"/>
      <c r="IH899" s="109"/>
      <c r="II899" s="111"/>
      <c r="IJ899" s="109"/>
      <c r="IK899" s="109"/>
      <c r="IL899" s="110"/>
      <c r="IM899" s="109"/>
      <c r="IN899" s="111"/>
      <c r="IO899" s="109"/>
      <c r="IP899" s="109"/>
      <c r="IQ899" s="110"/>
      <c r="IR899" s="109"/>
      <c r="IS899" s="111"/>
      <c r="IT899" s="109"/>
      <c r="IU899" s="109"/>
      <c r="IV899" s="110"/>
    </row>
    <row r="900" spans="1:256" s="123" customFormat="1" ht="14.25">
      <c r="A900" s="134">
        <v>37160</v>
      </c>
      <c r="B900" s="111">
        <v>54.3467</v>
      </c>
      <c r="C900" s="111">
        <f t="shared" si="15"/>
        <v>0.0543467</v>
      </c>
      <c r="D900" s="111">
        <v>34.1565</v>
      </c>
      <c r="E900" s="111">
        <v>37.2237</v>
      </c>
      <c r="F900" s="131"/>
      <c r="G900" s="109"/>
      <c r="H900" s="111"/>
      <c r="I900" s="109"/>
      <c r="J900" s="109"/>
      <c r="K900" s="110"/>
      <c r="L900" s="109"/>
      <c r="M900" s="111"/>
      <c r="N900" s="109"/>
      <c r="O900" s="109"/>
      <c r="P900" s="110"/>
      <c r="Q900" s="109"/>
      <c r="R900" s="111"/>
      <c r="S900" s="109"/>
      <c r="T900" s="109"/>
      <c r="U900" s="110"/>
      <c r="V900" s="109"/>
      <c r="W900" s="111"/>
      <c r="X900" s="109"/>
      <c r="Y900" s="109"/>
      <c r="Z900" s="110"/>
      <c r="AA900" s="109"/>
      <c r="AB900" s="111"/>
      <c r="AC900" s="109"/>
      <c r="AD900" s="109"/>
      <c r="AE900" s="110"/>
      <c r="AF900" s="109"/>
      <c r="AG900" s="111"/>
      <c r="AH900" s="109"/>
      <c r="AI900" s="109"/>
      <c r="AJ900" s="110"/>
      <c r="AK900" s="109"/>
      <c r="AL900" s="111"/>
      <c r="AM900" s="109"/>
      <c r="AN900" s="109"/>
      <c r="AO900" s="110"/>
      <c r="AP900" s="109"/>
      <c r="AQ900" s="111"/>
      <c r="AR900" s="109"/>
      <c r="AS900" s="109"/>
      <c r="AT900" s="110"/>
      <c r="AU900" s="109"/>
      <c r="AV900" s="111"/>
      <c r="AW900" s="109"/>
      <c r="AX900" s="109"/>
      <c r="AY900" s="110"/>
      <c r="AZ900" s="109"/>
      <c r="BA900" s="111"/>
      <c r="BB900" s="109"/>
      <c r="BC900" s="109"/>
      <c r="BD900" s="110"/>
      <c r="BE900" s="109"/>
      <c r="BF900" s="111"/>
      <c r="BG900" s="109"/>
      <c r="BH900" s="109"/>
      <c r="BI900" s="110"/>
      <c r="BJ900" s="109"/>
      <c r="BK900" s="111"/>
      <c r="BL900" s="109"/>
      <c r="BM900" s="109"/>
      <c r="BN900" s="110"/>
      <c r="BO900" s="109"/>
      <c r="BP900" s="111"/>
      <c r="BQ900" s="109"/>
      <c r="BR900" s="109"/>
      <c r="BS900" s="110"/>
      <c r="BT900" s="109"/>
      <c r="BU900" s="111"/>
      <c r="BV900" s="109"/>
      <c r="BW900" s="109"/>
      <c r="BX900" s="110"/>
      <c r="BY900" s="109"/>
      <c r="BZ900" s="111"/>
      <c r="CA900" s="109"/>
      <c r="CB900" s="109"/>
      <c r="CC900" s="110"/>
      <c r="CD900" s="109"/>
      <c r="CE900" s="111"/>
      <c r="CF900" s="109"/>
      <c r="CG900" s="109"/>
      <c r="CH900" s="110"/>
      <c r="CI900" s="109"/>
      <c r="CJ900" s="111"/>
      <c r="CK900" s="109"/>
      <c r="CL900" s="109"/>
      <c r="CM900" s="110"/>
      <c r="CN900" s="109"/>
      <c r="CO900" s="111"/>
      <c r="CP900" s="109"/>
      <c r="CQ900" s="109"/>
      <c r="CR900" s="110"/>
      <c r="CS900" s="109"/>
      <c r="CT900" s="111"/>
      <c r="CU900" s="109"/>
      <c r="CV900" s="109"/>
      <c r="CW900" s="110"/>
      <c r="CX900" s="109"/>
      <c r="CY900" s="111"/>
      <c r="CZ900" s="109"/>
      <c r="DA900" s="109"/>
      <c r="DB900" s="110"/>
      <c r="DC900" s="109"/>
      <c r="DD900" s="111"/>
      <c r="DE900" s="109"/>
      <c r="DF900" s="109"/>
      <c r="DG900" s="110"/>
      <c r="DH900" s="109"/>
      <c r="DI900" s="111"/>
      <c r="DJ900" s="109"/>
      <c r="DK900" s="109"/>
      <c r="DL900" s="110"/>
      <c r="DM900" s="109"/>
      <c r="DN900" s="111"/>
      <c r="DO900" s="109"/>
      <c r="DP900" s="109"/>
      <c r="DQ900" s="110"/>
      <c r="DR900" s="109"/>
      <c r="DS900" s="111"/>
      <c r="DT900" s="109"/>
      <c r="DU900" s="109"/>
      <c r="DV900" s="110"/>
      <c r="DW900" s="109"/>
      <c r="DX900" s="111"/>
      <c r="DY900" s="109"/>
      <c r="DZ900" s="109"/>
      <c r="EA900" s="110"/>
      <c r="EB900" s="109"/>
      <c r="EC900" s="111"/>
      <c r="ED900" s="109"/>
      <c r="EE900" s="109"/>
      <c r="EF900" s="110"/>
      <c r="EG900" s="109"/>
      <c r="EH900" s="111"/>
      <c r="EI900" s="109"/>
      <c r="EJ900" s="109"/>
      <c r="EK900" s="110"/>
      <c r="EL900" s="109"/>
      <c r="EM900" s="111"/>
      <c r="EN900" s="109"/>
      <c r="EO900" s="109"/>
      <c r="EP900" s="110"/>
      <c r="EQ900" s="109"/>
      <c r="ER900" s="111"/>
      <c r="ES900" s="109"/>
      <c r="ET900" s="109"/>
      <c r="EU900" s="110"/>
      <c r="EV900" s="109"/>
      <c r="EW900" s="111"/>
      <c r="EX900" s="109"/>
      <c r="EY900" s="109"/>
      <c r="EZ900" s="110"/>
      <c r="FA900" s="109"/>
      <c r="FB900" s="111"/>
      <c r="FC900" s="109"/>
      <c r="FD900" s="109"/>
      <c r="FE900" s="110"/>
      <c r="FF900" s="109"/>
      <c r="FG900" s="111"/>
      <c r="FH900" s="109"/>
      <c r="FI900" s="109"/>
      <c r="FJ900" s="110"/>
      <c r="FK900" s="109"/>
      <c r="FL900" s="111"/>
      <c r="FM900" s="109"/>
      <c r="FN900" s="109"/>
      <c r="FO900" s="110"/>
      <c r="FP900" s="109"/>
      <c r="FQ900" s="111"/>
      <c r="FR900" s="109"/>
      <c r="FS900" s="109"/>
      <c r="FT900" s="110"/>
      <c r="FU900" s="109"/>
      <c r="FV900" s="111"/>
      <c r="FW900" s="109"/>
      <c r="FX900" s="109"/>
      <c r="FY900" s="110"/>
      <c r="FZ900" s="109"/>
      <c r="GA900" s="111"/>
      <c r="GB900" s="109"/>
      <c r="GC900" s="109"/>
      <c r="GD900" s="110"/>
      <c r="GE900" s="109"/>
      <c r="GF900" s="111"/>
      <c r="GG900" s="109"/>
      <c r="GH900" s="109"/>
      <c r="GI900" s="110"/>
      <c r="GJ900" s="109"/>
      <c r="GK900" s="111"/>
      <c r="GL900" s="109"/>
      <c r="GM900" s="109"/>
      <c r="GN900" s="110"/>
      <c r="GO900" s="109"/>
      <c r="GP900" s="111"/>
      <c r="GQ900" s="109"/>
      <c r="GR900" s="109"/>
      <c r="GS900" s="110"/>
      <c r="GT900" s="109"/>
      <c r="GU900" s="111"/>
      <c r="GV900" s="109"/>
      <c r="GW900" s="109"/>
      <c r="GX900" s="110"/>
      <c r="GY900" s="109"/>
      <c r="GZ900" s="111"/>
      <c r="HA900" s="109"/>
      <c r="HB900" s="109"/>
      <c r="HC900" s="110"/>
      <c r="HD900" s="109"/>
      <c r="HE900" s="111"/>
      <c r="HF900" s="109"/>
      <c r="HG900" s="109"/>
      <c r="HH900" s="110"/>
      <c r="HI900" s="109"/>
      <c r="HJ900" s="111"/>
      <c r="HK900" s="109"/>
      <c r="HL900" s="109"/>
      <c r="HM900" s="110"/>
      <c r="HN900" s="109"/>
      <c r="HO900" s="111"/>
      <c r="HP900" s="109"/>
      <c r="HQ900" s="109"/>
      <c r="HR900" s="110"/>
      <c r="HS900" s="109"/>
      <c r="HT900" s="111"/>
      <c r="HU900" s="109"/>
      <c r="HV900" s="109"/>
      <c r="HW900" s="110"/>
      <c r="HX900" s="109"/>
      <c r="HY900" s="111"/>
      <c r="HZ900" s="109"/>
      <c r="IA900" s="109"/>
      <c r="IB900" s="110"/>
      <c r="IC900" s="109"/>
      <c r="ID900" s="111"/>
      <c r="IE900" s="109"/>
      <c r="IF900" s="109"/>
      <c r="IG900" s="110"/>
      <c r="IH900" s="109"/>
      <c r="II900" s="111"/>
      <c r="IJ900" s="109"/>
      <c r="IK900" s="109"/>
      <c r="IL900" s="110"/>
      <c r="IM900" s="109"/>
      <c r="IN900" s="111"/>
      <c r="IO900" s="109"/>
      <c r="IP900" s="109"/>
      <c r="IQ900" s="110"/>
      <c r="IR900" s="109"/>
      <c r="IS900" s="111"/>
      <c r="IT900" s="109"/>
      <c r="IU900" s="109"/>
      <c r="IV900" s="110"/>
    </row>
    <row r="901" spans="1:256" s="123" customFormat="1" ht="14.25">
      <c r="A901" s="134">
        <v>37161</v>
      </c>
      <c r="B901" s="111">
        <v>54.2716</v>
      </c>
      <c r="C901" s="111">
        <f t="shared" si="15"/>
        <v>0.0542716</v>
      </c>
      <c r="D901" s="111">
        <v>33.8175</v>
      </c>
      <c r="E901" s="111">
        <v>36.6824</v>
      </c>
      <c r="F901" s="131"/>
      <c r="G901" s="109"/>
      <c r="H901" s="111"/>
      <c r="I901" s="109"/>
      <c r="J901" s="109"/>
      <c r="K901" s="110"/>
      <c r="L901" s="109"/>
      <c r="M901" s="111"/>
      <c r="N901" s="109"/>
      <c r="O901" s="109"/>
      <c r="P901" s="110"/>
      <c r="Q901" s="109"/>
      <c r="R901" s="111"/>
      <c r="S901" s="109"/>
      <c r="T901" s="109"/>
      <c r="U901" s="110"/>
      <c r="V901" s="109"/>
      <c r="W901" s="111"/>
      <c r="X901" s="109"/>
      <c r="Y901" s="109"/>
      <c r="Z901" s="110"/>
      <c r="AA901" s="109"/>
      <c r="AB901" s="111"/>
      <c r="AC901" s="109"/>
      <c r="AD901" s="109"/>
      <c r="AE901" s="110"/>
      <c r="AF901" s="109"/>
      <c r="AG901" s="111"/>
      <c r="AH901" s="109"/>
      <c r="AI901" s="109"/>
      <c r="AJ901" s="110"/>
      <c r="AK901" s="109"/>
      <c r="AL901" s="111"/>
      <c r="AM901" s="109"/>
      <c r="AN901" s="109"/>
      <c r="AO901" s="110"/>
      <c r="AP901" s="109"/>
      <c r="AQ901" s="111"/>
      <c r="AR901" s="109"/>
      <c r="AS901" s="109"/>
      <c r="AT901" s="110"/>
      <c r="AU901" s="109"/>
      <c r="AV901" s="111"/>
      <c r="AW901" s="109"/>
      <c r="AX901" s="109"/>
      <c r="AY901" s="110"/>
      <c r="AZ901" s="109"/>
      <c r="BA901" s="111"/>
      <c r="BB901" s="109"/>
      <c r="BC901" s="109"/>
      <c r="BD901" s="110"/>
      <c r="BE901" s="109"/>
      <c r="BF901" s="111"/>
      <c r="BG901" s="109"/>
      <c r="BH901" s="109"/>
      <c r="BI901" s="110"/>
      <c r="BJ901" s="109"/>
      <c r="BK901" s="111"/>
      <c r="BL901" s="109"/>
      <c r="BM901" s="109"/>
      <c r="BN901" s="110"/>
      <c r="BO901" s="109"/>
      <c r="BP901" s="111"/>
      <c r="BQ901" s="109"/>
      <c r="BR901" s="109"/>
      <c r="BS901" s="110"/>
      <c r="BT901" s="109"/>
      <c r="BU901" s="111"/>
      <c r="BV901" s="109"/>
      <c r="BW901" s="109"/>
      <c r="BX901" s="110"/>
      <c r="BY901" s="109"/>
      <c r="BZ901" s="111"/>
      <c r="CA901" s="109"/>
      <c r="CB901" s="109"/>
      <c r="CC901" s="110"/>
      <c r="CD901" s="109"/>
      <c r="CE901" s="111"/>
      <c r="CF901" s="109"/>
      <c r="CG901" s="109"/>
      <c r="CH901" s="110"/>
      <c r="CI901" s="109"/>
      <c r="CJ901" s="111"/>
      <c r="CK901" s="109"/>
      <c r="CL901" s="109"/>
      <c r="CM901" s="110"/>
      <c r="CN901" s="109"/>
      <c r="CO901" s="111"/>
      <c r="CP901" s="109"/>
      <c r="CQ901" s="109"/>
      <c r="CR901" s="110"/>
      <c r="CS901" s="109"/>
      <c r="CT901" s="111"/>
      <c r="CU901" s="109"/>
      <c r="CV901" s="109"/>
      <c r="CW901" s="110"/>
      <c r="CX901" s="109"/>
      <c r="CY901" s="111"/>
      <c r="CZ901" s="109"/>
      <c r="DA901" s="109"/>
      <c r="DB901" s="110"/>
      <c r="DC901" s="109"/>
      <c r="DD901" s="111"/>
      <c r="DE901" s="109"/>
      <c r="DF901" s="109"/>
      <c r="DG901" s="110"/>
      <c r="DH901" s="109"/>
      <c r="DI901" s="111"/>
      <c r="DJ901" s="109"/>
      <c r="DK901" s="109"/>
      <c r="DL901" s="110"/>
      <c r="DM901" s="109"/>
      <c r="DN901" s="111"/>
      <c r="DO901" s="109"/>
      <c r="DP901" s="109"/>
      <c r="DQ901" s="110"/>
      <c r="DR901" s="109"/>
      <c r="DS901" s="111"/>
      <c r="DT901" s="109"/>
      <c r="DU901" s="109"/>
      <c r="DV901" s="110"/>
      <c r="DW901" s="109"/>
      <c r="DX901" s="111"/>
      <c r="DY901" s="109"/>
      <c r="DZ901" s="109"/>
      <c r="EA901" s="110"/>
      <c r="EB901" s="109"/>
      <c r="EC901" s="111"/>
      <c r="ED901" s="109"/>
      <c r="EE901" s="109"/>
      <c r="EF901" s="110"/>
      <c r="EG901" s="109"/>
      <c r="EH901" s="111"/>
      <c r="EI901" s="109"/>
      <c r="EJ901" s="109"/>
      <c r="EK901" s="110"/>
      <c r="EL901" s="109"/>
      <c r="EM901" s="111"/>
      <c r="EN901" s="109"/>
      <c r="EO901" s="109"/>
      <c r="EP901" s="110"/>
      <c r="EQ901" s="109"/>
      <c r="ER901" s="111"/>
      <c r="ES901" s="109"/>
      <c r="ET901" s="109"/>
      <c r="EU901" s="110"/>
      <c r="EV901" s="109"/>
      <c r="EW901" s="111"/>
      <c r="EX901" s="109"/>
      <c r="EY901" s="109"/>
      <c r="EZ901" s="110"/>
      <c r="FA901" s="109"/>
      <c r="FB901" s="111"/>
      <c r="FC901" s="109"/>
      <c r="FD901" s="109"/>
      <c r="FE901" s="110"/>
      <c r="FF901" s="109"/>
      <c r="FG901" s="111"/>
      <c r="FH901" s="109"/>
      <c r="FI901" s="109"/>
      <c r="FJ901" s="110"/>
      <c r="FK901" s="109"/>
      <c r="FL901" s="111"/>
      <c r="FM901" s="109"/>
      <c r="FN901" s="109"/>
      <c r="FO901" s="110"/>
      <c r="FP901" s="109"/>
      <c r="FQ901" s="111"/>
      <c r="FR901" s="109"/>
      <c r="FS901" s="109"/>
      <c r="FT901" s="110"/>
      <c r="FU901" s="109"/>
      <c r="FV901" s="111"/>
      <c r="FW901" s="109"/>
      <c r="FX901" s="109"/>
      <c r="FY901" s="110"/>
      <c r="FZ901" s="109"/>
      <c r="GA901" s="111"/>
      <c r="GB901" s="109"/>
      <c r="GC901" s="109"/>
      <c r="GD901" s="110"/>
      <c r="GE901" s="109"/>
      <c r="GF901" s="111"/>
      <c r="GG901" s="109"/>
      <c r="GH901" s="109"/>
      <c r="GI901" s="110"/>
      <c r="GJ901" s="109"/>
      <c r="GK901" s="111"/>
      <c r="GL901" s="109"/>
      <c r="GM901" s="109"/>
      <c r="GN901" s="110"/>
      <c r="GO901" s="109"/>
      <c r="GP901" s="111"/>
      <c r="GQ901" s="109"/>
      <c r="GR901" s="109"/>
      <c r="GS901" s="110"/>
      <c r="GT901" s="109"/>
      <c r="GU901" s="111"/>
      <c r="GV901" s="109"/>
      <c r="GW901" s="109"/>
      <c r="GX901" s="110"/>
      <c r="GY901" s="109"/>
      <c r="GZ901" s="111"/>
      <c r="HA901" s="109"/>
      <c r="HB901" s="109"/>
      <c r="HC901" s="110"/>
      <c r="HD901" s="109"/>
      <c r="HE901" s="111"/>
      <c r="HF901" s="109"/>
      <c r="HG901" s="109"/>
      <c r="HH901" s="110"/>
      <c r="HI901" s="109"/>
      <c r="HJ901" s="111"/>
      <c r="HK901" s="109"/>
      <c r="HL901" s="109"/>
      <c r="HM901" s="110"/>
      <c r="HN901" s="109"/>
      <c r="HO901" s="111"/>
      <c r="HP901" s="109"/>
      <c r="HQ901" s="109"/>
      <c r="HR901" s="110"/>
      <c r="HS901" s="109"/>
      <c r="HT901" s="111"/>
      <c r="HU901" s="109"/>
      <c r="HV901" s="109"/>
      <c r="HW901" s="110"/>
      <c r="HX901" s="109"/>
      <c r="HY901" s="111"/>
      <c r="HZ901" s="109"/>
      <c r="IA901" s="109"/>
      <c r="IB901" s="110"/>
      <c r="IC901" s="109"/>
      <c r="ID901" s="111"/>
      <c r="IE901" s="109"/>
      <c r="IF901" s="109"/>
      <c r="IG901" s="110"/>
      <c r="IH901" s="109"/>
      <c r="II901" s="111"/>
      <c r="IJ901" s="109"/>
      <c r="IK901" s="109"/>
      <c r="IL901" s="110"/>
      <c r="IM901" s="109"/>
      <c r="IN901" s="111"/>
      <c r="IO901" s="109"/>
      <c r="IP901" s="109"/>
      <c r="IQ901" s="110"/>
      <c r="IR901" s="109"/>
      <c r="IS901" s="111"/>
      <c r="IT901" s="109"/>
      <c r="IU901" s="109"/>
      <c r="IV901" s="110"/>
    </row>
    <row r="902" spans="1:256" s="123" customFormat="1" ht="14.25">
      <c r="A902" s="134">
        <v>37162</v>
      </c>
      <c r="B902" s="111">
        <v>53.2537</v>
      </c>
      <c r="C902" s="111">
        <f t="shared" si="15"/>
        <v>0.0532537</v>
      </c>
      <c r="D902" s="111">
        <v>33.097</v>
      </c>
      <c r="E902" s="111">
        <v>35.9555</v>
      </c>
      <c r="F902" s="131"/>
      <c r="G902" s="109"/>
      <c r="H902" s="111"/>
      <c r="I902" s="109"/>
      <c r="J902" s="109"/>
      <c r="K902" s="110"/>
      <c r="L902" s="109"/>
      <c r="M902" s="111"/>
      <c r="N902" s="109"/>
      <c r="O902" s="109"/>
      <c r="P902" s="110"/>
      <c r="Q902" s="109"/>
      <c r="R902" s="111"/>
      <c r="S902" s="109"/>
      <c r="T902" s="109"/>
      <c r="U902" s="110"/>
      <c r="V902" s="109"/>
      <c r="W902" s="111"/>
      <c r="X902" s="109"/>
      <c r="Y902" s="109"/>
      <c r="Z902" s="110"/>
      <c r="AA902" s="109"/>
      <c r="AB902" s="111"/>
      <c r="AC902" s="109"/>
      <c r="AD902" s="109"/>
      <c r="AE902" s="110"/>
      <c r="AF902" s="109"/>
      <c r="AG902" s="111"/>
      <c r="AH902" s="109"/>
      <c r="AI902" s="109"/>
      <c r="AJ902" s="110"/>
      <c r="AK902" s="109"/>
      <c r="AL902" s="111"/>
      <c r="AM902" s="109"/>
      <c r="AN902" s="109"/>
      <c r="AO902" s="110"/>
      <c r="AP902" s="109"/>
      <c r="AQ902" s="111"/>
      <c r="AR902" s="109"/>
      <c r="AS902" s="109"/>
      <c r="AT902" s="110"/>
      <c r="AU902" s="109"/>
      <c r="AV902" s="111"/>
      <c r="AW902" s="109"/>
      <c r="AX902" s="109"/>
      <c r="AY902" s="110"/>
      <c r="AZ902" s="109"/>
      <c r="BA902" s="111"/>
      <c r="BB902" s="109"/>
      <c r="BC902" s="109"/>
      <c r="BD902" s="110"/>
      <c r="BE902" s="109"/>
      <c r="BF902" s="111"/>
      <c r="BG902" s="109"/>
      <c r="BH902" s="109"/>
      <c r="BI902" s="110"/>
      <c r="BJ902" s="109"/>
      <c r="BK902" s="111"/>
      <c r="BL902" s="109"/>
      <c r="BM902" s="109"/>
      <c r="BN902" s="110"/>
      <c r="BO902" s="109"/>
      <c r="BP902" s="111"/>
      <c r="BQ902" s="109"/>
      <c r="BR902" s="109"/>
      <c r="BS902" s="110"/>
      <c r="BT902" s="109"/>
      <c r="BU902" s="111"/>
      <c r="BV902" s="109"/>
      <c r="BW902" s="109"/>
      <c r="BX902" s="110"/>
      <c r="BY902" s="109"/>
      <c r="BZ902" s="111"/>
      <c r="CA902" s="109"/>
      <c r="CB902" s="109"/>
      <c r="CC902" s="110"/>
      <c r="CD902" s="109"/>
      <c r="CE902" s="111"/>
      <c r="CF902" s="109"/>
      <c r="CG902" s="109"/>
      <c r="CH902" s="110"/>
      <c r="CI902" s="109"/>
      <c r="CJ902" s="111"/>
      <c r="CK902" s="109"/>
      <c r="CL902" s="109"/>
      <c r="CM902" s="110"/>
      <c r="CN902" s="109"/>
      <c r="CO902" s="111"/>
      <c r="CP902" s="109"/>
      <c r="CQ902" s="109"/>
      <c r="CR902" s="110"/>
      <c r="CS902" s="109"/>
      <c r="CT902" s="111"/>
      <c r="CU902" s="109"/>
      <c r="CV902" s="109"/>
      <c r="CW902" s="110"/>
      <c r="CX902" s="109"/>
      <c r="CY902" s="111"/>
      <c r="CZ902" s="109"/>
      <c r="DA902" s="109"/>
      <c r="DB902" s="110"/>
      <c r="DC902" s="109"/>
      <c r="DD902" s="111"/>
      <c r="DE902" s="109"/>
      <c r="DF902" s="109"/>
      <c r="DG902" s="110"/>
      <c r="DH902" s="109"/>
      <c r="DI902" s="111"/>
      <c r="DJ902" s="109"/>
      <c r="DK902" s="109"/>
      <c r="DL902" s="110"/>
      <c r="DM902" s="109"/>
      <c r="DN902" s="111"/>
      <c r="DO902" s="109"/>
      <c r="DP902" s="109"/>
      <c r="DQ902" s="110"/>
      <c r="DR902" s="109"/>
      <c r="DS902" s="111"/>
      <c r="DT902" s="109"/>
      <c r="DU902" s="109"/>
      <c r="DV902" s="110"/>
      <c r="DW902" s="109"/>
      <c r="DX902" s="111"/>
      <c r="DY902" s="109"/>
      <c r="DZ902" s="109"/>
      <c r="EA902" s="110"/>
      <c r="EB902" s="109"/>
      <c r="EC902" s="111"/>
      <c r="ED902" s="109"/>
      <c r="EE902" s="109"/>
      <c r="EF902" s="110"/>
      <c r="EG902" s="109"/>
      <c r="EH902" s="111"/>
      <c r="EI902" s="109"/>
      <c r="EJ902" s="109"/>
      <c r="EK902" s="110"/>
      <c r="EL902" s="109"/>
      <c r="EM902" s="111"/>
      <c r="EN902" s="109"/>
      <c r="EO902" s="109"/>
      <c r="EP902" s="110"/>
      <c r="EQ902" s="109"/>
      <c r="ER902" s="111"/>
      <c r="ES902" s="109"/>
      <c r="ET902" s="109"/>
      <c r="EU902" s="110"/>
      <c r="EV902" s="109"/>
      <c r="EW902" s="111"/>
      <c r="EX902" s="109"/>
      <c r="EY902" s="109"/>
      <c r="EZ902" s="110"/>
      <c r="FA902" s="109"/>
      <c r="FB902" s="111"/>
      <c r="FC902" s="109"/>
      <c r="FD902" s="109"/>
      <c r="FE902" s="110"/>
      <c r="FF902" s="109"/>
      <c r="FG902" s="111"/>
      <c r="FH902" s="109"/>
      <c r="FI902" s="109"/>
      <c r="FJ902" s="110"/>
      <c r="FK902" s="109"/>
      <c r="FL902" s="111"/>
      <c r="FM902" s="109"/>
      <c r="FN902" s="109"/>
      <c r="FO902" s="110"/>
      <c r="FP902" s="109"/>
      <c r="FQ902" s="111"/>
      <c r="FR902" s="109"/>
      <c r="FS902" s="109"/>
      <c r="FT902" s="110"/>
      <c r="FU902" s="109"/>
      <c r="FV902" s="111"/>
      <c r="FW902" s="109"/>
      <c r="FX902" s="109"/>
      <c r="FY902" s="110"/>
      <c r="FZ902" s="109"/>
      <c r="GA902" s="111"/>
      <c r="GB902" s="109"/>
      <c r="GC902" s="109"/>
      <c r="GD902" s="110"/>
      <c r="GE902" s="109"/>
      <c r="GF902" s="111"/>
      <c r="GG902" s="109"/>
      <c r="GH902" s="109"/>
      <c r="GI902" s="110"/>
      <c r="GJ902" s="109"/>
      <c r="GK902" s="111"/>
      <c r="GL902" s="109"/>
      <c r="GM902" s="109"/>
      <c r="GN902" s="110"/>
      <c r="GO902" s="109"/>
      <c r="GP902" s="111"/>
      <c r="GQ902" s="109"/>
      <c r="GR902" s="109"/>
      <c r="GS902" s="110"/>
      <c r="GT902" s="109"/>
      <c r="GU902" s="111"/>
      <c r="GV902" s="109"/>
      <c r="GW902" s="109"/>
      <c r="GX902" s="110"/>
      <c r="GY902" s="109"/>
      <c r="GZ902" s="111"/>
      <c r="HA902" s="109"/>
      <c r="HB902" s="109"/>
      <c r="HC902" s="110"/>
      <c r="HD902" s="109"/>
      <c r="HE902" s="111"/>
      <c r="HF902" s="109"/>
      <c r="HG902" s="109"/>
      <c r="HH902" s="110"/>
      <c r="HI902" s="109"/>
      <c r="HJ902" s="111"/>
      <c r="HK902" s="109"/>
      <c r="HL902" s="109"/>
      <c r="HM902" s="110"/>
      <c r="HN902" s="109"/>
      <c r="HO902" s="111"/>
      <c r="HP902" s="109"/>
      <c r="HQ902" s="109"/>
      <c r="HR902" s="110"/>
      <c r="HS902" s="109"/>
      <c r="HT902" s="111"/>
      <c r="HU902" s="109"/>
      <c r="HV902" s="109"/>
      <c r="HW902" s="110"/>
      <c r="HX902" s="109"/>
      <c r="HY902" s="111"/>
      <c r="HZ902" s="109"/>
      <c r="IA902" s="109"/>
      <c r="IB902" s="110"/>
      <c r="IC902" s="109"/>
      <c r="ID902" s="111"/>
      <c r="IE902" s="109"/>
      <c r="IF902" s="109"/>
      <c r="IG902" s="110"/>
      <c r="IH902" s="109"/>
      <c r="II902" s="111"/>
      <c r="IJ902" s="109"/>
      <c r="IK902" s="109"/>
      <c r="IL902" s="110"/>
      <c r="IM902" s="109"/>
      <c r="IN902" s="111"/>
      <c r="IO902" s="109"/>
      <c r="IP902" s="109"/>
      <c r="IQ902" s="110"/>
      <c r="IR902" s="109"/>
      <c r="IS902" s="111"/>
      <c r="IT902" s="109"/>
      <c r="IU902" s="109"/>
      <c r="IV902" s="110"/>
    </row>
    <row r="903" spans="1:256" s="123" customFormat="1" ht="14.25">
      <c r="A903" s="134">
        <v>37165</v>
      </c>
      <c r="B903" s="111">
        <v>51.4929</v>
      </c>
      <c r="C903" s="111">
        <f t="shared" si="15"/>
        <v>0.0514929</v>
      </c>
      <c r="D903" s="111">
        <v>31.8529</v>
      </c>
      <c r="E903" s="111">
        <v>34.8844</v>
      </c>
      <c r="F903" s="131"/>
      <c r="G903" s="109"/>
      <c r="H903" s="111"/>
      <c r="I903" s="109"/>
      <c r="J903" s="109"/>
      <c r="K903" s="110"/>
      <c r="L903" s="109"/>
      <c r="M903" s="111"/>
      <c r="N903" s="109"/>
      <c r="O903" s="109"/>
      <c r="P903" s="110"/>
      <c r="Q903" s="109"/>
      <c r="R903" s="111"/>
      <c r="S903" s="109"/>
      <c r="T903" s="109"/>
      <c r="U903" s="110"/>
      <c r="V903" s="109"/>
      <c r="W903" s="111"/>
      <c r="X903" s="109"/>
      <c r="Y903" s="109"/>
      <c r="Z903" s="110"/>
      <c r="AA903" s="109"/>
      <c r="AB903" s="111"/>
      <c r="AC903" s="109"/>
      <c r="AD903" s="109"/>
      <c r="AE903" s="110"/>
      <c r="AF903" s="109"/>
      <c r="AG903" s="111"/>
      <c r="AH903" s="109"/>
      <c r="AI903" s="109"/>
      <c r="AJ903" s="110"/>
      <c r="AK903" s="109"/>
      <c r="AL903" s="111"/>
      <c r="AM903" s="109"/>
      <c r="AN903" s="109"/>
      <c r="AO903" s="110"/>
      <c r="AP903" s="109"/>
      <c r="AQ903" s="111"/>
      <c r="AR903" s="109"/>
      <c r="AS903" s="109"/>
      <c r="AT903" s="110"/>
      <c r="AU903" s="109"/>
      <c r="AV903" s="111"/>
      <c r="AW903" s="109"/>
      <c r="AX903" s="109"/>
      <c r="AY903" s="110"/>
      <c r="AZ903" s="109"/>
      <c r="BA903" s="111"/>
      <c r="BB903" s="109"/>
      <c r="BC903" s="109"/>
      <c r="BD903" s="110"/>
      <c r="BE903" s="109"/>
      <c r="BF903" s="111"/>
      <c r="BG903" s="109"/>
      <c r="BH903" s="109"/>
      <c r="BI903" s="110"/>
      <c r="BJ903" s="109"/>
      <c r="BK903" s="111"/>
      <c r="BL903" s="109"/>
      <c r="BM903" s="109"/>
      <c r="BN903" s="110"/>
      <c r="BO903" s="109"/>
      <c r="BP903" s="111"/>
      <c r="BQ903" s="109"/>
      <c r="BR903" s="109"/>
      <c r="BS903" s="110"/>
      <c r="BT903" s="109"/>
      <c r="BU903" s="111"/>
      <c r="BV903" s="109"/>
      <c r="BW903" s="109"/>
      <c r="BX903" s="110"/>
      <c r="BY903" s="109"/>
      <c r="BZ903" s="111"/>
      <c r="CA903" s="109"/>
      <c r="CB903" s="109"/>
      <c r="CC903" s="110"/>
      <c r="CD903" s="109"/>
      <c r="CE903" s="111"/>
      <c r="CF903" s="109"/>
      <c r="CG903" s="109"/>
      <c r="CH903" s="110"/>
      <c r="CI903" s="109"/>
      <c r="CJ903" s="111"/>
      <c r="CK903" s="109"/>
      <c r="CL903" s="109"/>
      <c r="CM903" s="110"/>
      <c r="CN903" s="109"/>
      <c r="CO903" s="111"/>
      <c r="CP903" s="109"/>
      <c r="CQ903" s="109"/>
      <c r="CR903" s="110"/>
      <c r="CS903" s="109"/>
      <c r="CT903" s="111"/>
      <c r="CU903" s="109"/>
      <c r="CV903" s="109"/>
      <c r="CW903" s="110"/>
      <c r="CX903" s="109"/>
      <c r="CY903" s="111"/>
      <c r="CZ903" s="109"/>
      <c r="DA903" s="109"/>
      <c r="DB903" s="110"/>
      <c r="DC903" s="109"/>
      <c r="DD903" s="111"/>
      <c r="DE903" s="109"/>
      <c r="DF903" s="109"/>
      <c r="DG903" s="110"/>
      <c r="DH903" s="109"/>
      <c r="DI903" s="111"/>
      <c r="DJ903" s="109"/>
      <c r="DK903" s="109"/>
      <c r="DL903" s="110"/>
      <c r="DM903" s="109"/>
      <c r="DN903" s="111"/>
      <c r="DO903" s="109"/>
      <c r="DP903" s="109"/>
      <c r="DQ903" s="110"/>
      <c r="DR903" s="109"/>
      <c r="DS903" s="111"/>
      <c r="DT903" s="109"/>
      <c r="DU903" s="109"/>
      <c r="DV903" s="110"/>
      <c r="DW903" s="109"/>
      <c r="DX903" s="111"/>
      <c r="DY903" s="109"/>
      <c r="DZ903" s="109"/>
      <c r="EA903" s="110"/>
      <c r="EB903" s="109"/>
      <c r="EC903" s="111"/>
      <c r="ED903" s="109"/>
      <c r="EE903" s="109"/>
      <c r="EF903" s="110"/>
      <c r="EG903" s="109"/>
      <c r="EH903" s="111"/>
      <c r="EI903" s="109"/>
      <c r="EJ903" s="109"/>
      <c r="EK903" s="110"/>
      <c r="EL903" s="109"/>
      <c r="EM903" s="111"/>
      <c r="EN903" s="109"/>
      <c r="EO903" s="109"/>
      <c r="EP903" s="110"/>
      <c r="EQ903" s="109"/>
      <c r="ER903" s="111"/>
      <c r="ES903" s="109"/>
      <c r="ET903" s="109"/>
      <c r="EU903" s="110"/>
      <c r="EV903" s="109"/>
      <c r="EW903" s="111"/>
      <c r="EX903" s="109"/>
      <c r="EY903" s="109"/>
      <c r="EZ903" s="110"/>
      <c r="FA903" s="109"/>
      <c r="FB903" s="111"/>
      <c r="FC903" s="109"/>
      <c r="FD903" s="109"/>
      <c r="FE903" s="110"/>
      <c r="FF903" s="109"/>
      <c r="FG903" s="111"/>
      <c r="FH903" s="109"/>
      <c r="FI903" s="109"/>
      <c r="FJ903" s="110"/>
      <c r="FK903" s="109"/>
      <c r="FL903" s="111"/>
      <c r="FM903" s="109"/>
      <c r="FN903" s="109"/>
      <c r="FO903" s="110"/>
      <c r="FP903" s="109"/>
      <c r="FQ903" s="111"/>
      <c r="FR903" s="109"/>
      <c r="FS903" s="109"/>
      <c r="FT903" s="110"/>
      <c r="FU903" s="109"/>
      <c r="FV903" s="111"/>
      <c r="FW903" s="109"/>
      <c r="FX903" s="109"/>
      <c r="FY903" s="110"/>
      <c r="FZ903" s="109"/>
      <c r="GA903" s="111"/>
      <c r="GB903" s="109"/>
      <c r="GC903" s="109"/>
      <c r="GD903" s="110"/>
      <c r="GE903" s="109"/>
      <c r="GF903" s="111"/>
      <c r="GG903" s="109"/>
      <c r="GH903" s="109"/>
      <c r="GI903" s="110"/>
      <c r="GJ903" s="109"/>
      <c r="GK903" s="111"/>
      <c r="GL903" s="109"/>
      <c r="GM903" s="109"/>
      <c r="GN903" s="110"/>
      <c r="GO903" s="109"/>
      <c r="GP903" s="111"/>
      <c r="GQ903" s="109"/>
      <c r="GR903" s="109"/>
      <c r="GS903" s="110"/>
      <c r="GT903" s="109"/>
      <c r="GU903" s="111"/>
      <c r="GV903" s="109"/>
      <c r="GW903" s="109"/>
      <c r="GX903" s="110"/>
      <c r="GY903" s="109"/>
      <c r="GZ903" s="111"/>
      <c r="HA903" s="109"/>
      <c r="HB903" s="109"/>
      <c r="HC903" s="110"/>
      <c r="HD903" s="109"/>
      <c r="HE903" s="111"/>
      <c r="HF903" s="109"/>
      <c r="HG903" s="109"/>
      <c r="HH903" s="110"/>
      <c r="HI903" s="109"/>
      <c r="HJ903" s="111"/>
      <c r="HK903" s="109"/>
      <c r="HL903" s="109"/>
      <c r="HM903" s="110"/>
      <c r="HN903" s="109"/>
      <c r="HO903" s="111"/>
      <c r="HP903" s="109"/>
      <c r="HQ903" s="109"/>
      <c r="HR903" s="110"/>
      <c r="HS903" s="109"/>
      <c r="HT903" s="111"/>
      <c r="HU903" s="109"/>
      <c r="HV903" s="109"/>
      <c r="HW903" s="110"/>
      <c r="HX903" s="109"/>
      <c r="HY903" s="111"/>
      <c r="HZ903" s="109"/>
      <c r="IA903" s="109"/>
      <c r="IB903" s="110"/>
      <c r="IC903" s="109"/>
      <c r="ID903" s="111"/>
      <c r="IE903" s="109"/>
      <c r="IF903" s="109"/>
      <c r="IG903" s="110"/>
      <c r="IH903" s="109"/>
      <c r="II903" s="111"/>
      <c r="IJ903" s="109"/>
      <c r="IK903" s="109"/>
      <c r="IL903" s="110"/>
      <c r="IM903" s="109"/>
      <c r="IN903" s="111"/>
      <c r="IO903" s="109"/>
      <c r="IP903" s="109"/>
      <c r="IQ903" s="110"/>
      <c r="IR903" s="109"/>
      <c r="IS903" s="111"/>
      <c r="IT903" s="109"/>
      <c r="IU903" s="109"/>
      <c r="IV903" s="110"/>
    </row>
    <row r="904" spans="1:256" s="123" customFormat="1" ht="14.25">
      <c r="A904" s="134">
        <v>37166</v>
      </c>
      <c r="B904" s="111">
        <v>51.8432</v>
      </c>
      <c r="C904" s="111">
        <f t="shared" si="15"/>
        <v>0.051843200000000006</v>
      </c>
      <c r="D904" s="111">
        <v>31.9663</v>
      </c>
      <c r="E904" s="111">
        <v>35.0316</v>
      </c>
      <c r="F904" s="131"/>
      <c r="G904" s="109"/>
      <c r="H904" s="111"/>
      <c r="I904" s="109"/>
      <c r="J904" s="109"/>
      <c r="K904" s="110"/>
      <c r="L904" s="109"/>
      <c r="M904" s="111"/>
      <c r="N904" s="109"/>
      <c r="O904" s="109"/>
      <c r="P904" s="110"/>
      <c r="Q904" s="109"/>
      <c r="R904" s="111"/>
      <c r="S904" s="109"/>
      <c r="T904" s="109"/>
      <c r="U904" s="110"/>
      <c r="V904" s="109"/>
      <c r="W904" s="111"/>
      <c r="X904" s="109"/>
      <c r="Y904" s="109"/>
      <c r="Z904" s="110"/>
      <c r="AA904" s="109"/>
      <c r="AB904" s="111"/>
      <c r="AC904" s="109"/>
      <c r="AD904" s="109"/>
      <c r="AE904" s="110"/>
      <c r="AF904" s="109"/>
      <c r="AG904" s="111"/>
      <c r="AH904" s="109"/>
      <c r="AI904" s="109"/>
      <c r="AJ904" s="110"/>
      <c r="AK904" s="109"/>
      <c r="AL904" s="111"/>
      <c r="AM904" s="109"/>
      <c r="AN904" s="109"/>
      <c r="AO904" s="110"/>
      <c r="AP904" s="109"/>
      <c r="AQ904" s="111"/>
      <c r="AR904" s="109"/>
      <c r="AS904" s="109"/>
      <c r="AT904" s="110"/>
      <c r="AU904" s="109"/>
      <c r="AV904" s="111"/>
      <c r="AW904" s="109"/>
      <c r="AX904" s="109"/>
      <c r="AY904" s="110"/>
      <c r="AZ904" s="109"/>
      <c r="BA904" s="111"/>
      <c r="BB904" s="109"/>
      <c r="BC904" s="109"/>
      <c r="BD904" s="110"/>
      <c r="BE904" s="109"/>
      <c r="BF904" s="111"/>
      <c r="BG904" s="109"/>
      <c r="BH904" s="109"/>
      <c r="BI904" s="110"/>
      <c r="BJ904" s="109"/>
      <c r="BK904" s="111"/>
      <c r="BL904" s="109"/>
      <c r="BM904" s="109"/>
      <c r="BN904" s="110"/>
      <c r="BO904" s="109"/>
      <c r="BP904" s="111"/>
      <c r="BQ904" s="109"/>
      <c r="BR904" s="109"/>
      <c r="BS904" s="110"/>
      <c r="BT904" s="109"/>
      <c r="BU904" s="111"/>
      <c r="BV904" s="109"/>
      <c r="BW904" s="109"/>
      <c r="BX904" s="110"/>
      <c r="BY904" s="109"/>
      <c r="BZ904" s="111"/>
      <c r="CA904" s="109"/>
      <c r="CB904" s="109"/>
      <c r="CC904" s="110"/>
      <c r="CD904" s="109"/>
      <c r="CE904" s="111"/>
      <c r="CF904" s="109"/>
      <c r="CG904" s="109"/>
      <c r="CH904" s="110"/>
      <c r="CI904" s="109"/>
      <c r="CJ904" s="111"/>
      <c r="CK904" s="109"/>
      <c r="CL904" s="109"/>
      <c r="CM904" s="110"/>
      <c r="CN904" s="109"/>
      <c r="CO904" s="111"/>
      <c r="CP904" s="109"/>
      <c r="CQ904" s="109"/>
      <c r="CR904" s="110"/>
      <c r="CS904" s="109"/>
      <c r="CT904" s="111"/>
      <c r="CU904" s="109"/>
      <c r="CV904" s="109"/>
      <c r="CW904" s="110"/>
      <c r="CX904" s="109"/>
      <c r="CY904" s="111"/>
      <c r="CZ904" s="109"/>
      <c r="DA904" s="109"/>
      <c r="DB904" s="110"/>
      <c r="DC904" s="109"/>
      <c r="DD904" s="111"/>
      <c r="DE904" s="109"/>
      <c r="DF904" s="109"/>
      <c r="DG904" s="110"/>
      <c r="DH904" s="109"/>
      <c r="DI904" s="111"/>
      <c r="DJ904" s="109"/>
      <c r="DK904" s="109"/>
      <c r="DL904" s="110"/>
      <c r="DM904" s="109"/>
      <c r="DN904" s="111"/>
      <c r="DO904" s="109"/>
      <c r="DP904" s="109"/>
      <c r="DQ904" s="110"/>
      <c r="DR904" s="109"/>
      <c r="DS904" s="111"/>
      <c r="DT904" s="109"/>
      <c r="DU904" s="109"/>
      <c r="DV904" s="110"/>
      <c r="DW904" s="109"/>
      <c r="DX904" s="111"/>
      <c r="DY904" s="109"/>
      <c r="DZ904" s="109"/>
      <c r="EA904" s="110"/>
      <c r="EB904" s="109"/>
      <c r="EC904" s="111"/>
      <c r="ED904" s="109"/>
      <c r="EE904" s="109"/>
      <c r="EF904" s="110"/>
      <c r="EG904" s="109"/>
      <c r="EH904" s="111"/>
      <c r="EI904" s="109"/>
      <c r="EJ904" s="109"/>
      <c r="EK904" s="110"/>
      <c r="EL904" s="109"/>
      <c r="EM904" s="111"/>
      <c r="EN904" s="109"/>
      <c r="EO904" s="109"/>
      <c r="EP904" s="110"/>
      <c r="EQ904" s="109"/>
      <c r="ER904" s="111"/>
      <c r="ES904" s="109"/>
      <c r="ET904" s="109"/>
      <c r="EU904" s="110"/>
      <c r="EV904" s="109"/>
      <c r="EW904" s="111"/>
      <c r="EX904" s="109"/>
      <c r="EY904" s="109"/>
      <c r="EZ904" s="110"/>
      <c r="FA904" s="109"/>
      <c r="FB904" s="111"/>
      <c r="FC904" s="109"/>
      <c r="FD904" s="109"/>
      <c r="FE904" s="110"/>
      <c r="FF904" s="109"/>
      <c r="FG904" s="111"/>
      <c r="FH904" s="109"/>
      <c r="FI904" s="109"/>
      <c r="FJ904" s="110"/>
      <c r="FK904" s="109"/>
      <c r="FL904" s="111"/>
      <c r="FM904" s="109"/>
      <c r="FN904" s="109"/>
      <c r="FO904" s="110"/>
      <c r="FP904" s="109"/>
      <c r="FQ904" s="111"/>
      <c r="FR904" s="109"/>
      <c r="FS904" s="109"/>
      <c r="FT904" s="110"/>
      <c r="FU904" s="109"/>
      <c r="FV904" s="111"/>
      <c r="FW904" s="109"/>
      <c r="FX904" s="109"/>
      <c r="FY904" s="110"/>
      <c r="FZ904" s="109"/>
      <c r="GA904" s="111"/>
      <c r="GB904" s="109"/>
      <c r="GC904" s="109"/>
      <c r="GD904" s="110"/>
      <c r="GE904" s="109"/>
      <c r="GF904" s="111"/>
      <c r="GG904" s="109"/>
      <c r="GH904" s="109"/>
      <c r="GI904" s="110"/>
      <c r="GJ904" s="109"/>
      <c r="GK904" s="111"/>
      <c r="GL904" s="109"/>
      <c r="GM904" s="109"/>
      <c r="GN904" s="110"/>
      <c r="GO904" s="109"/>
      <c r="GP904" s="111"/>
      <c r="GQ904" s="109"/>
      <c r="GR904" s="109"/>
      <c r="GS904" s="110"/>
      <c r="GT904" s="109"/>
      <c r="GU904" s="111"/>
      <c r="GV904" s="109"/>
      <c r="GW904" s="109"/>
      <c r="GX904" s="110"/>
      <c r="GY904" s="109"/>
      <c r="GZ904" s="111"/>
      <c r="HA904" s="109"/>
      <c r="HB904" s="109"/>
      <c r="HC904" s="110"/>
      <c r="HD904" s="109"/>
      <c r="HE904" s="111"/>
      <c r="HF904" s="109"/>
      <c r="HG904" s="109"/>
      <c r="HH904" s="110"/>
      <c r="HI904" s="109"/>
      <c r="HJ904" s="111"/>
      <c r="HK904" s="109"/>
      <c r="HL904" s="109"/>
      <c r="HM904" s="110"/>
      <c r="HN904" s="109"/>
      <c r="HO904" s="111"/>
      <c r="HP904" s="109"/>
      <c r="HQ904" s="109"/>
      <c r="HR904" s="110"/>
      <c r="HS904" s="109"/>
      <c r="HT904" s="111"/>
      <c r="HU904" s="109"/>
      <c r="HV904" s="109"/>
      <c r="HW904" s="110"/>
      <c r="HX904" s="109"/>
      <c r="HY904" s="111"/>
      <c r="HZ904" s="109"/>
      <c r="IA904" s="109"/>
      <c r="IB904" s="110"/>
      <c r="IC904" s="109"/>
      <c r="ID904" s="111"/>
      <c r="IE904" s="109"/>
      <c r="IF904" s="109"/>
      <c r="IG904" s="110"/>
      <c r="IH904" s="109"/>
      <c r="II904" s="111"/>
      <c r="IJ904" s="109"/>
      <c r="IK904" s="109"/>
      <c r="IL904" s="110"/>
      <c r="IM904" s="109"/>
      <c r="IN904" s="111"/>
      <c r="IO904" s="109"/>
      <c r="IP904" s="109"/>
      <c r="IQ904" s="110"/>
      <c r="IR904" s="109"/>
      <c r="IS904" s="111"/>
      <c r="IT904" s="109"/>
      <c r="IU904" s="109"/>
      <c r="IV904" s="110"/>
    </row>
    <row r="905" spans="1:256" s="123" customFormat="1" ht="14.25">
      <c r="A905" s="134">
        <v>37167</v>
      </c>
      <c r="B905" s="111">
        <v>39.68</v>
      </c>
      <c r="C905" s="111">
        <f t="shared" si="15"/>
        <v>0.03968</v>
      </c>
      <c r="D905" s="111">
        <v>24.6315</v>
      </c>
      <c r="E905" s="111">
        <v>26.8054</v>
      </c>
      <c r="F905" s="131"/>
      <c r="G905" s="109"/>
      <c r="H905" s="111"/>
      <c r="I905" s="109"/>
      <c r="J905" s="109"/>
      <c r="K905" s="110"/>
      <c r="L905" s="109"/>
      <c r="M905" s="111"/>
      <c r="N905" s="109"/>
      <c r="O905" s="109"/>
      <c r="P905" s="110"/>
      <c r="Q905" s="109"/>
      <c r="R905" s="111"/>
      <c r="S905" s="109"/>
      <c r="T905" s="109"/>
      <c r="U905" s="110"/>
      <c r="V905" s="109"/>
      <c r="W905" s="111"/>
      <c r="X905" s="109"/>
      <c r="Y905" s="109"/>
      <c r="Z905" s="110"/>
      <c r="AA905" s="109"/>
      <c r="AB905" s="111"/>
      <c r="AC905" s="109"/>
      <c r="AD905" s="109"/>
      <c r="AE905" s="110"/>
      <c r="AF905" s="109"/>
      <c r="AG905" s="111"/>
      <c r="AH905" s="109"/>
      <c r="AI905" s="109"/>
      <c r="AJ905" s="110"/>
      <c r="AK905" s="109"/>
      <c r="AL905" s="111"/>
      <c r="AM905" s="109"/>
      <c r="AN905" s="109"/>
      <c r="AO905" s="110"/>
      <c r="AP905" s="109"/>
      <c r="AQ905" s="111"/>
      <c r="AR905" s="109"/>
      <c r="AS905" s="109"/>
      <c r="AT905" s="110"/>
      <c r="AU905" s="109"/>
      <c r="AV905" s="111"/>
      <c r="AW905" s="109"/>
      <c r="AX905" s="109"/>
      <c r="AY905" s="110"/>
      <c r="AZ905" s="109"/>
      <c r="BA905" s="111"/>
      <c r="BB905" s="109"/>
      <c r="BC905" s="109"/>
      <c r="BD905" s="110"/>
      <c r="BE905" s="109"/>
      <c r="BF905" s="111"/>
      <c r="BG905" s="109"/>
      <c r="BH905" s="109"/>
      <c r="BI905" s="110"/>
      <c r="BJ905" s="109"/>
      <c r="BK905" s="111"/>
      <c r="BL905" s="109"/>
      <c r="BM905" s="109"/>
      <c r="BN905" s="110"/>
      <c r="BO905" s="109"/>
      <c r="BP905" s="111"/>
      <c r="BQ905" s="109"/>
      <c r="BR905" s="109"/>
      <c r="BS905" s="110"/>
      <c r="BT905" s="109"/>
      <c r="BU905" s="111"/>
      <c r="BV905" s="109"/>
      <c r="BW905" s="109"/>
      <c r="BX905" s="110"/>
      <c r="BY905" s="109"/>
      <c r="BZ905" s="111"/>
      <c r="CA905" s="109"/>
      <c r="CB905" s="109"/>
      <c r="CC905" s="110"/>
      <c r="CD905" s="109"/>
      <c r="CE905" s="111"/>
      <c r="CF905" s="109"/>
      <c r="CG905" s="109"/>
      <c r="CH905" s="110"/>
      <c r="CI905" s="109"/>
      <c r="CJ905" s="111"/>
      <c r="CK905" s="109"/>
      <c r="CL905" s="109"/>
      <c r="CM905" s="110"/>
      <c r="CN905" s="109"/>
      <c r="CO905" s="111"/>
      <c r="CP905" s="109"/>
      <c r="CQ905" s="109"/>
      <c r="CR905" s="110"/>
      <c r="CS905" s="109"/>
      <c r="CT905" s="111"/>
      <c r="CU905" s="109"/>
      <c r="CV905" s="109"/>
      <c r="CW905" s="110"/>
      <c r="CX905" s="109"/>
      <c r="CY905" s="111"/>
      <c r="CZ905" s="109"/>
      <c r="DA905" s="109"/>
      <c r="DB905" s="110"/>
      <c r="DC905" s="109"/>
      <c r="DD905" s="111"/>
      <c r="DE905" s="109"/>
      <c r="DF905" s="109"/>
      <c r="DG905" s="110"/>
      <c r="DH905" s="109"/>
      <c r="DI905" s="111"/>
      <c r="DJ905" s="109"/>
      <c r="DK905" s="109"/>
      <c r="DL905" s="110"/>
      <c r="DM905" s="109"/>
      <c r="DN905" s="111"/>
      <c r="DO905" s="109"/>
      <c r="DP905" s="109"/>
      <c r="DQ905" s="110"/>
      <c r="DR905" s="109"/>
      <c r="DS905" s="111"/>
      <c r="DT905" s="109"/>
      <c r="DU905" s="109"/>
      <c r="DV905" s="110"/>
      <c r="DW905" s="109"/>
      <c r="DX905" s="111"/>
      <c r="DY905" s="109"/>
      <c r="DZ905" s="109"/>
      <c r="EA905" s="110"/>
      <c r="EB905" s="109"/>
      <c r="EC905" s="111"/>
      <c r="ED905" s="109"/>
      <c r="EE905" s="109"/>
      <c r="EF905" s="110"/>
      <c r="EG905" s="109"/>
      <c r="EH905" s="111"/>
      <c r="EI905" s="109"/>
      <c r="EJ905" s="109"/>
      <c r="EK905" s="110"/>
      <c r="EL905" s="109"/>
      <c r="EM905" s="111"/>
      <c r="EN905" s="109"/>
      <c r="EO905" s="109"/>
      <c r="EP905" s="110"/>
      <c r="EQ905" s="109"/>
      <c r="ER905" s="111"/>
      <c r="ES905" s="109"/>
      <c r="ET905" s="109"/>
      <c r="EU905" s="110"/>
      <c r="EV905" s="109"/>
      <c r="EW905" s="111"/>
      <c r="EX905" s="109"/>
      <c r="EY905" s="109"/>
      <c r="EZ905" s="110"/>
      <c r="FA905" s="109"/>
      <c r="FB905" s="111"/>
      <c r="FC905" s="109"/>
      <c r="FD905" s="109"/>
      <c r="FE905" s="110"/>
      <c r="FF905" s="109"/>
      <c r="FG905" s="111"/>
      <c r="FH905" s="109"/>
      <c r="FI905" s="109"/>
      <c r="FJ905" s="110"/>
      <c r="FK905" s="109"/>
      <c r="FL905" s="111"/>
      <c r="FM905" s="109"/>
      <c r="FN905" s="109"/>
      <c r="FO905" s="110"/>
      <c r="FP905" s="109"/>
      <c r="FQ905" s="111"/>
      <c r="FR905" s="109"/>
      <c r="FS905" s="109"/>
      <c r="FT905" s="110"/>
      <c r="FU905" s="109"/>
      <c r="FV905" s="111"/>
      <c r="FW905" s="109"/>
      <c r="FX905" s="109"/>
      <c r="FY905" s="110"/>
      <c r="FZ905" s="109"/>
      <c r="GA905" s="111"/>
      <c r="GB905" s="109"/>
      <c r="GC905" s="109"/>
      <c r="GD905" s="110"/>
      <c r="GE905" s="109"/>
      <c r="GF905" s="111"/>
      <c r="GG905" s="109"/>
      <c r="GH905" s="109"/>
      <c r="GI905" s="110"/>
      <c r="GJ905" s="109"/>
      <c r="GK905" s="111"/>
      <c r="GL905" s="109"/>
      <c r="GM905" s="109"/>
      <c r="GN905" s="110"/>
      <c r="GO905" s="109"/>
      <c r="GP905" s="111"/>
      <c r="GQ905" s="109"/>
      <c r="GR905" s="109"/>
      <c r="GS905" s="110"/>
      <c r="GT905" s="109"/>
      <c r="GU905" s="111"/>
      <c r="GV905" s="109"/>
      <c r="GW905" s="109"/>
      <c r="GX905" s="110"/>
      <c r="GY905" s="109"/>
      <c r="GZ905" s="111"/>
      <c r="HA905" s="109"/>
      <c r="HB905" s="109"/>
      <c r="HC905" s="110"/>
      <c r="HD905" s="109"/>
      <c r="HE905" s="111"/>
      <c r="HF905" s="109"/>
      <c r="HG905" s="109"/>
      <c r="HH905" s="110"/>
      <c r="HI905" s="109"/>
      <c r="HJ905" s="111"/>
      <c r="HK905" s="109"/>
      <c r="HL905" s="109"/>
      <c r="HM905" s="110"/>
      <c r="HN905" s="109"/>
      <c r="HO905" s="111"/>
      <c r="HP905" s="109"/>
      <c r="HQ905" s="109"/>
      <c r="HR905" s="110"/>
      <c r="HS905" s="109"/>
      <c r="HT905" s="111"/>
      <c r="HU905" s="109"/>
      <c r="HV905" s="109"/>
      <c r="HW905" s="110"/>
      <c r="HX905" s="109"/>
      <c r="HY905" s="111"/>
      <c r="HZ905" s="109"/>
      <c r="IA905" s="109"/>
      <c r="IB905" s="110"/>
      <c r="IC905" s="109"/>
      <c r="ID905" s="111"/>
      <c r="IE905" s="109"/>
      <c r="IF905" s="109"/>
      <c r="IG905" s="110"/>
      <c r="IH905" s="109"/>
      <c r="II905" s="111"/>
      <c r="IJ905" s="109"/>
      <c r="IK905" s="109"/>
      <c r="IL905" s="110"/>
      <c r="IM905" s="109"/>
      <c r="IN905" s="111"/>
      <c r="IO905" s="109"/>
      <c r="IP905" s="109"/>
      <c r="IQ905" s="110"/>
      <c r="IR905" s="109"/>
      <c r="IS905" s="111"/>
      <c r="IT905" s="109"/>
      <c r="IU905" s="109"/>
      <c r="IV905" s="110"/>
    </row>
    <row r="906" spans="1:256" s="123" customFormat="1" ht="14.25">
      <c r="A906" s="134">
        <v>37168</v>
      </c>
      <c r="B906" s="111">
        <v>48.8309</v>
      </c>
      <c r="C906" s="111">
        <f t="shared" si="15"/>
        <v>0.0488309</v>
      </c>
      <c r="D906" s="111">
        <v>30.294</v>
      </c>
      <c r="E906" s="111">
        <v>32.8961</v>
      </c>
      <c r="F906" s="131"/>
      <c r="G906" s="109"/>
      <c r="H906" s="111"/>
      <c r="I906" s="109"/>
      <c r="J906" s="109"/>
      <c r="K906" s="110"/>
      <c r="L906" s="109"/>
      <c r="M906" s="111"/>
      <c r="N906" s="109"/>
      <c r="O906" s="109"/>
      <c r="P906" s="110"/>
      <c r="Q906" s="109"/>
      <c r="R906" s="111"/>
      <c r="S906" s="109"/>
      <c r="T906" s="109"/>
      <c r="U906" s="110"/>
      <c r="V906" s="109"/>
      <c r="W906" s="111"/>
      <c r="X906" s="109"/>
      <c r="Y906" s="109"/>
      <c r="Z906" s="110"/>
      <c r="AA906" s="109"/>
      <c r="AB906" s="111"/>
      <c r="AC906" s="109"/>
      <c r="AD906" s="109"/>
      <c r="AE906" s="110"/>
      <c r="AF906" s="109"/>
      <c r="AG906" s="111"/>
      <c r="AH906" s="109"/>
      <c r="AI906" s="109"/>
      <c r="AJ906" s="110"/>
      <c r="AK906" s="109"/>
      <c r="AL906" s="111"/>
      <c r="AM906" s="109"/>
      <c r="AN906" s="109"/>
      <c r="AO906" s="110"/>
      <c r="AP906" s="109"/>
      <c r="AQ906" s="111"/>
      <c r="AR906" s="109"/>
      <c r="AS906" s="109"/>
      <c r="AT906" s="110"/>
      <c r="AU906" s="109"/>
      <c r="AV906" s="111"/>
      <c r="AW906" s="109"/>
      <c r="AX906" s="109"/>
      <c r="AY906" s="110"/>
      <c r="AZ906" s="109"/>
      <c r="BA906" s="111"/>
      <c r="BB906" s="109"/>
      <c r="BC906" s="109"/>
      <c r="BD906" s="110"/>
      <c r="BE906" s="109"/>
      <c r="BF906" s="111"/>
      <c r="BG906" s="109"/>
      <c r="BH906" s="109"/>
      <c r="BI906" s="110"/>
      <c r="BJ906" s="109"/>
      <c r="BK906" s="111"/>
      <c r="BL906" s="109"/>
      <c r="BM906" s="109"/>
      <c r="BN906" s="110"/>
      <c r="BO906" s="109"/>
      <c r="BP906" s="111"/>
      <c r="BQ906" s="109"/>
      <c r="BR906" s="109"/>
      <c r="BS906" s="110"/>
      <c r="BT906" s="109"/>
      <c r="BU906" s="111"/>
      <c r="BV906" s="109"/>
      <c r="BW906" s="109"/>
      <c r="BX906" s="110"/>
      <c r="BY906" s="109"/>
      <c r="BZ906" s="111"/>
      <c r="CA906" s="109"/>
      <c r="CB906" s="109"/>
      <c r="CC906" s="110"/>
      <c r="CD906" s="109"/>
      <c r="CE906" s="111"/>
      <c r="CF906" s="109"/>
      <c r="CG906" s="109"/>
      <c r="CH906" s="110"/>
      <c r="CI906" s="109"/>
      <c r="CJ906" s="111"/>
      <c r="CK906" s="109"/>
      <c r="CL906" s="109"/>
      <c r="CM906" s="110"/>
      <c r="CN906" s="109"/>
      <c r="CO906" s="111"/>
      <c r="CP906" s="109"/>
      <c r="CQ906" s="109"/>
      <c r="CR906" s="110"/>
      <c r="CS906" s="109"/>
      <c r="CT906" s="111"/>
      <c r="CU906" s="109"/>
      <c r="CV906" s="109"/>
      <c r="CW906" s="110"/>
      <c r="CX906" s="109"/>
      <c r="CY906" s="111"/>
      <c r="CZ906" s="109"/>
      <c r="DA906" s="109"/>
      <c r="DB906" s="110"/>
      <c r="DC906" s="109"/>
      <c r="DD906" s="111"/>
      <c r="DE906" s="109"/>
      <c r="DF906" s="109"/>
      <c r="DG906" s="110"/>
      <c r="DH906" s="109"/>
      <c r="DI906" s="111"/>
      <c r="DJ906" s="109"/>
      <c r="DK906" s="109"/>
      <c r="DL906" s="110"/>
      <c r="DM906" s="109"/>
      <c r="DN906" s="111"/>
      <c r="DO906" s="109"/>
      <c r="DP906" s="109"/>
      <c r="DQ906" s="110"/>
      <c r="DR906" s="109"/>
      <c r="DS906" s="111"/>
      <c r="DT906" s="109"/>
      <c r="DU906" s="109"/>
      <c r="DV906" s="110"/>
      <c r="DW906" s="109"/>
      <c r="DX906" s="111"/>
      <c r="DY906" s="109"/>
      <c r="DZ906" s="109"/>
      <c r="EA906" s="110"/>
      <c r="EB906" s="109"/>
      <c r="EC906" s="111"/>
      <c r="ED906" s="109"/>
      <c r="EE906" s="109"/>
      <c r="EF906" s="110"/>
      <c r="EG906" s="109"/>
      <c r="EH906" s="111"/>
      <c r="EI906" s="109"/>
      <c r="EJ906" s="109"/>
      <c r="EK906" s="110"/>
      <c r="EL906" s="109"/>
      <c r="EM906" s="111"/>
      <c r="EN906" s="109"/>
      <c r="EO906" s="109"/>
      <c r="EP906" s="110"/>
      <c r="EQ906" s="109"/>
      <c r="ER906" s="111"/>
      <c r="ES906" s="109"/>
      <c r="ET906" s="109"/>
      <c r="EU906" s="110"/>
      <c r="EV906" s="109"/>
      <c r="EW906" s="111"/>
      <c r="EX906" s="109"/>
      <c r="EY906" s="109"/>
      <c r="EZ906" s="110"/>
      <c r="FA906" s="109"/>
      <c r="FB906" s="111"/>
      <c r="FC906" s="109"/>
      <c r="FD906" s="109"/>
      <c r="FE906" s="110"/>
      <c r="FF906" s="109"/>
      <c r="FG906" s="111"/>
      <c r="FH906" s="109"/>
      <c r="FI906" s="109"/>
      <c r="FJ906" s="110"/>
      <c r="FK906" s="109"/>
      <c r="FL906" s="111"/>
      <c r="FM906" s="109"/>
      <c r="FN906" s="109"/>
      <c r="FO906" s="110"/>
      <c r="FP906" s="109"/>
      <c r="FQ906" s="111"/>
      <c r="FR906" s="109"/>
      <c r="FS906" s="109"/>
      <c r="FT906" s="110"/>
      <c r="FU906" s="109"/>
      <c r="FV906" s="111"/>
      <c r="FW906" s="109"/>
      <c r="FX906" s="109"/>
      <c r="FY906" s="110"/>
      <c r="FZ906" s="109"/>
      <c r="GA906" s="111"/>
      <c r="GB906" s="109"/>
      <c r="GC906" s="109"/>
      <c r="GD906" s="110"/>
      <c r="GE906" s="109"/>
      <c r="GF906" s="111"/>
      <c r="GG906" s="109"/>
      <c r="GH906" s="109"/>
      <c r="GI906" s="110"/>
      <c r="GJ906" s="109"/>
      <c r="GK906" s="111"/>
      <c r="GL906" s="109"/>
      <c r="GM906" s="109"/>
      <c r="GN906" s="110"/>
      <c r="GO906" s="109"/>
      <c r="GP906" s="111"/>
      <c r="GQ906" s="109"/>
      <c r="GR906" s="109"/>
      <c r="GS906" s="110"/>
      <c r="GT906" s="109"/>
      <c r="GU906" s="111"/>
      <c r="GV906" s="109"/>
      <c r="GW906" s="109"/>
      <c r="GX906" s="110"/>
      <c r="GY906" s="109"/>
      <c r="GZ906" s="111"/>
      <c r="HA906" s="109"/>
      <c r="HB906" s="109"/>
      <c r="HC906" s="110"/>
      <c r="HD906" s="109"/>
      <c r="HE906" s="111"/>
      <c r="HF906" s="109"/>
      <c r="HG906" s="109"/>
      <c r="HH906" s="110"/>
      <c r="HI906" s="109"/>
      <c r="HJ906" s="111"/>
      <c r="HK906" s="109"/>
      <c r="HL906" s="109"/>
      <c r="HM906" s="110"/>
      <c r="HN906" s="109"/>
      <c r="HO906" s="111"/>
      <c r="HP906" s="109"/>
      <c r="HQ906" s="109"/>
      <c r="HR906" s="110"/>
      <c r="HS906" s="109"/>
      <c r="HT906" s="111"/>
      <c r="HU906" s="109"/>
      <c r="HV906" s="109"/>
      <c r="HW906" s="110"/>
      <c r="HX906" s="109"/>
      <c r="HY906" s="111"/>
      <c r="HZ906" s="109"/>
      <c r="IA906" s="109"/>
      <c r="IB906" s="110"/>
      <c r="IC906" s="109"/>
      <c r="ID906" s="111"/>
      <c r="IE906" s="109"/>
      <c r="IF906" s="109"/>
      <c r="IG906" s="110"/>
      <c r="IH906" s="109"/>
      <c r="II906" s="111"/>
      <c r="IJ906" s="109"/>
      <c r="IK906" s="109"/>
      <c r="IL906" s="110"/>
      <c r="IM906" s="109"/>
      <c r="IN906" s="111"/>
      <c r="IO906" s="109"/>
      <c r="IP906" s="109"/>
      <c r="IQ906" s="110"/>
      <c r="IR906" s="109"/>
      <c r="IS906" s="111"/>
      <c r="IT906" s="109"/>
      <c r="IU906" s="109"/>
      <c r="IV906" s="110"/>
    </row>
    <row r="907" spans="1:256" s="123" customFormat="1" ht="14.25">
      <c r="A907" s="134">
        <v>37169</v>
      </c>
      <c r="B907" s="111">
        <v>48.0959</v>
      </c>
      <c r="C907" s="111">
        <f t="shared" si="15"/>
        <v>0.048095900000000004</v>
      </c>
      <c r="D907" s="111">
        <v>29.5161</v>
      </c>
      <c r="E907" s="111">
        <v>32.3747</v>
      </c>
      <c r="F907" s="131"/>
      <c r="G907" s="109"/>
      <c r="H907" s="111"/>
      <c r="I907" s="109"/>
      <c r="J907" s="109"/>
      <c r="K907" s="110"/>
      <c r="L907" s="109"/>
      <c r="M907" s="111"/>
      <c r="N907" s="109"/>
      <c r="O907" s="109"/>
      <c r="P907" s="110"/>
      <c r="Q907" s="109"/>
      <c r="R907" s="111"/>
      <c r="S907" s="109"/>
      <c r="T907" s="109"/>
      <c r="U907" s="110"/>
      <c r="V907" s="109"/>
      <c r="W907" s="111"/>
      <c r="X907" s="109"/>
      <c r="Y907" s="109"/>
      <c r="Z907" s="110"/>
      <c r="AA907" s="109"/>
      <c r="AB907" s="111"/>
      <c r="AC907" s="109"/>
      <c r="AD907" s="109"/>
      <c r="AE907" s="110"/>
      <c r="AF907" s="109"/>
      <c r="AG907" s="111"/>
      <c r="AH907" s="109"/>
      <c r="AI907" s="109"/>
      <c r="AJ907" s="110"/>
      <c r="AK907" s="109"/>
      <c r="AL907" s="111"/>
      <c r="AM907" s="109"/>
      <c r="AN907" s="109"/>
      <c r="AO907" s="110"/>
      <c r="AP907" s="109"/>
      <c r="AQ907" s="111"/>
      <c r="AR907" s="109"/>
      <c r="AS907" s="109"/>
      <c r="AT907" s="110"/>
      <c r="AU907" s="109"/>
      <c r="AV907" s="111"/>
      <c r="AW907" s="109"/>
      <c r="AX907" s="109"/>
      <c r="AY907" s="110"/>
      <c r="AZ907" s="109"/>
      <c r="BA907" s="111"/>
      <c r="BB907" s="109"/>
      <c r="BC907" s="109"/>
      <c r="BD907" s="110"/>
      <c r="BE907" s="109"/>
      <c r="BF907" s="111"/>
      <c r="BG907" s="109"/>
      <c r="BH907" s="109"/>
      <c r="BI907" s="110"/>
      <c r="BJ907" s="109"/>
      <c r="BK907" s="111"/>
      <c r="BL907" s="109"/>
      <c r="BM907" s="109"/>
      <c r="BN907" s="110"/>
      <c r="BO907" s="109"/>
      <c r="BP907" s="111"/>
      <c r="BQ907" s="109"/>
      <c r="BR907" s="109"/>
      <c r="BS907" s="110"/>
      <c r="BT907" s="109"/>
      <c r="BU907" s="111"/>
      <c r="BV907" s="109"/>
      <c r="BW907" s="109"/>
      <c r="BX907" s="110"/>
      <c r="BY907" s="109"/>
      <c r="BZ907" s="111"/>
      <c r="CA907" s="109"/>
      <c r="CB907" s="109"/>
      <c r="CC907" s="110"/>
      <c r="CD907" s="109"/>
      <c r="CE907" s="111"/>
      <c r="CF907" s="109"/>
      <c r="CG907" s="109"/>
      <c r="CH907" s="110"/>
      <c r="CI907" s="109"/>
      <c r="CJ907" s="111"/>
      <c r="CK907" s="109"/>
      <c r="CL907" s="109"/>
      <c r="CM907" s="110"/>
      <c r="CN907" s="109"/>
      <c r="CO907" s="111"/>
      <c r="CP907" s="109"/>
      <c r="CQ907" s="109"/>
      <c r="CR907" s="110"/>
      <c r="CS907" s="109"/>
      <c r="CT907" s="111"/>
      <c r="CU907" s="109"/>
      <c r="CV907" s="109"/>
      <c r="CW907" s="110"/>
      <c r="CX907" s="109"/>
      <c r="CY907" s="111"/>
      <c r="CZ907" s="109"/>
      <c r="DA907" s="109"/>
      <c r="DB907" s="110"/>
      <c r="DC907" s="109"/>
      <c r="DD907" s="111"/>
      <c r="DE907" s="109"/>
      <c r="DF907" s="109"/>
      <c r="DG907" s="110"/>
      <c r="DH907" s="109"/>
      <c r="DI907" s="111"/>
      <c r="DJ907" s="109"/>
      <c r="DK907" s="109"/>
      <c r="DL907" s="110"/>
      <c r="DM907" s="109"/>
      <c r="DN907" s="111"/>
      <c r="DO907" s="109"/>
      <c r="DP907" s="109"/>
      <c r="DQ907" s="110"/>
      <c r="DR907" s="109"/>
      <c r="DS907" s="111"/>
      <c r="DT907" s="109"/>
      <c r="DU907" s="109"/>
      <c r="DV907" s="110"/>
      <c r="DW907" s="109"/>
      <c r="DX907" s="111"/>
      <c r="DY907" s="109"/>
      <c r="DZ907" s="109"/>
      <c r="EA907" s="110"/>
      <c r="EB907" s="109"/>
      <c r="EC907" s="111"/>
      <c r="ED907" s="109"/>
      <c r="EE907" s="109"/>
      <c r="EF907" s="110"/>
      <c r="EG907" s="109"/>
      <c r="EH907" s="111"/>
      <c r="EI907" s="109"/>
      <c r="EJ907" s="109"/>
      <c r="EK907" s="110"/>
      <c r="EL907" s="109"/>
      <c r="EM907" s="111"/>
      <c r="EN907" s="109"/>
      <c r="EO907" s="109"/>
      <c r="EP907" s="110"/>
      <c r="EQ907" s="109"/>
      <c r="ER907" s="111"/>
      <c r="ES907" s="109"/>
      <c r="ET907" s="109"/>
      <c r="EU907" s="110"/>
      <c r="EV907" s="109"/>
      <c r="EW907" s="111"/>
      <c r="EX907" s="109"/>
      <c r="EY907" s="109"/>
      <c r="EZ907" s="110"/>
      <c r="FA907" s="109"/>
      <c r="FB907" s="111"/>
      <c r="FC907" s="109"/>
      <c r="FD907" s="109"/>
      <c r="FE907" s="110"/>
      <c r="FF907" s="109"/>
      <c r="FG907" s="111"/>
      <c r="FH907" s="109"/>
      <c r="FI907" s="109"/>
      <c r="FJ907" s="110"/>
      <c r="FK907" s="109"/>
      <c r="FL907" s="111"/>
      <c r="FM907" s="109"/>
      <c r="FN907" s="109"/>
      <c r="FO907" s="110"/>
      <c r="FP907" s="109"/>
      <c r="FQ907" s="111"/>
      <c r="FR907" s="109"/>
      <c r="FS907" s="109"/>
      <c r="FT907" s="110"/>
      <c r="FU907" s="109"/>
      <c r="FV907" s="111"/>
      <c r="FW907" s="109"/>
      <c r="FX907" s="109"/>
      <c r="FY907" s="110"/>
      <c r="FZ907" s="109"/>
      <c r="GA907" s="111"/>
      <c r="GB907" s="109"/>
      <c r="GC907" s="109"/>
      <c r="GD907" s="110"/>
      <c r="GE907" s="109"/>
      <c r="GF907" s="111"/>
      <c r="GG907" s="109"/>
      <c r="GH907" s="109"/>
      <c r="GI907" s="110"/>
      <c r="GJ907" s="109"/>
      <c r="GK907" s="111"/>
      <c r="GL907" s="109"/>
      <c r="GM907" s="109"/>
      <c r="GN907" s="110"/>
      <c r="GO907" s="109"/>
      <c r="GP907" s="111"/>
      <c r="GQ907" s="109"/>
      <c r="GR907" s="109"/>
      <c r="GS907" s="110"/>
      <c r="GT907" s="109"/>
      <c r="GU907" s="111"/>
      <c r="GV907" s="109"/>
      <c r="GW907" s="109"/>
      <c r="GX907" s="110"/>
      <c r="GY907" s="109"/>
      <c r="GZ907" s="111"/>
      <c r="HA907" s="109"/>
      <c r="HB907" s="109"/>
      <c r="HC907" s="110"/>
      <c r="HD907" s="109"/>
      <c r="HE907" s="111"/>
      <c r="HF907" s="109"/>
      <c r="HG907" s="109"/>
      <c r="HH907" s="110"/>
      <c r="HI907" s="109"/>
      <c r="HJ907" s="111"/>
      <c r="HK907" s="109"/>
      <c r="HL907" s="109"/>
      <c r="HM907" s="110"/>
      <c r="HN907" s="109"/>
      <c r="HO907" s="111"/>
      <c r="HP907" s="109"/>
      <c r="HQ907" s="109"/>
      <c r="HR907" s="110"/>
      <c r="HS907" s="109"/>
      <c r="HT907" s="111"/>
      <c r="HU907" s="109"/>
      <c r="HV907" s="109"/>
      <c r="HW907" s="110"/>
      <c r="HX907" s="109"/>
      <c r="HY907" s="111"/>
      <c r="HZ907" s="109"/>
      <c r="IA907" s="109"/>
      <c r="IB907" s="110"/>
      <c r="IC907" s="109"/>
      <c r="ID907" s="111"/>
      <c r="IE907" s="109"/>
      <c r="IF907" s="109"/>
      <c r="IG907" s="110"/>
      <c r="IH907" s="109"/>
      <c r="II907" s="111"/>
      <c r="IJ907" s="109"/>
      <c r="IK907" s="109"/>
      <c r="IL907" s="110"/>
      <c r="IM907" s="109"/>
      <c r="IN907" s="111"/>
      <c r="IO907" s="109"/>
      <c r="IP907" s="109"/>
      <c r="IQ907" s="110"/>
      <c r="IR907" s="109"/>
      <c r="IS907" s="111"/>
      <c r="IT907" s="109"/>
      <c r="IU907" s="109"/>
      <c r="IV907" s="110"/>
    </row>
    <row r="908" spans="1:256" s="123" customFormat="1" ht="14.25">
      <c r="A908" s="134">
        <v>37172</v>
      </c>
      <c r="B908" s="111">
        <v>44.9061</v>
      </c>
      <c r="C908" s="111">
        <f t="shared" si="15"/>
        <v>0.044906100000000004</v>
      </c>
      <c r="D908" s="111">
        <v>27.6972</v>
      </c>
      <c r="E908" s="111">
        <v>30.191</v>
      </c>
      <c r="F908" s="131"/>
      <c r="G908" s="109"/>
      <c r="H908" s="111"/>
      <c r="I908" s="109"/>
      <c r="J908" s="109"/>
      <c r="K908" s="110"/>
      <c r="L908" s="109"/>
      <c r="M908" s="111"/>
      <c r="N908" s="109"/>
      <c r="O908" s="109"/>
      <c r="P908" s="110"/>
      <c r="Q908" s="109"/>
      <c r="R908" s="111"/>
      <c r="S908" s="109"/>
      <c r="T908" s="109"/>
      <c r="U908" s="110"/>
      <c r="V908" s="109"/>
      <c r="W908" s="111"/>
      <c r="X908" s="109"/>
      <c r="Y908" s="109"/>
      <c r="Z908" s="110"/>
      <c r="AA908" s="109"/>
      <c r="AB908" s="111"/>
      <c r="AC908" s="109"/>
      <c r="AD908" s="109"/>
      <c r="AE908" s="110"/>
      <c r="AF908" s="109"/>
      <c r="AG908" s="111"/>
      <c r="AH908" s="109"/>
      <c r="AI908" s="109"/>
      <c r="AJ908" s="110"/>
      <c r="AK908" s="109"/>
      <c r="AL908" s="111"/>
      <c r="AM908" s="109"/>
      <c r="AN908" s="109"/>
      <c r="AO908" s="110"/>
      <c r="AP908" s="109"/>
      <c r="AQ908" s="111"/>
      <c r="AR908" s="109"/>
      <c r="AS908" s="109"/>
      <c r="AT908" s="110"/>
      <c r="AU908" s="109"/>
      <c r="AV908" s="111"/>
      <c r="AW908" s="109"/>
      <c r="AX908" s="109"/>
      <c r="AY908" s="110"/>
      <c r="AZ908" s="109"/>
      <c r="BA908" s="111"/>
      <c r="BB908" s="109"/>
      <c r="BC908" s="109"/>
      <c r="BD908" s="110"/>
      <c r="BE908" s="109"/>
      <c r="BF908" s="111"/>
      <c r="BG908" s="109"/>
      <c r="BH908" s="109"/>
      <c r="BI908" s="110"/>
      <c r="BJ908" s="109"/>
      <c r="BK908" s="111"/>
      <c r="BL908" s="109"/>
      <c r="BM908" s="109"/>
      <c r="BN908" s="110"/>
      <c r="BO908" s="109"/>
      <c r="BP908" s="111"/>
      <c r="BQ908" s="109"/>
      <c r="BR908" s="109"/>
      <c r="BS908" s="110"/>
      <c r="BT908" s="109"/>
      <c r="BU908" s="111"/>
      <c r="BV908" s="109"/>
      <c r="BW908" s="109"/>
      <c r="BX908" s="110"/>
      <c r="BY908" s="109"/>
      <c r="BZ908" s="111"/>
      <c r="CA908" s="109"/>
      <c r="CB908" s="109"/>
      <c r="CC908" s="110"/>
      <c r="CD908" s="109"/>
      <c r="CE908" s="111"/>
      <c r="CF908" s="109"/>
      <c r="CG908" s="109"/>
      <c r="CH908" s="110"/>
      <c r="CI908" s="109"/>
      <c r="CJ908" s="111"/>
      <c r="CK908" s="109"/>
      <c r="CL908" s="109"/>
      <c r="CM908" s="110"/>
      <c r="CN908" s="109"/>
      <c r="CO908" s="111"/>
      <c r="CP908" s="109"/>
      <c r="CQ908" s="109"/>
      <c r="CR908" s="110"/>
      <c r="CS908" s="109"/>
      <c r="CT908" s="111"/>
      <c r="CU908" s="109"/>
      <c r="CV908" s="109"/>
      <c r="CW908" s="110"/>
      <c r="CX908" s="109"/>
      <c r="CY908" s="111"/>
      <c r="CZ908" s="109"/>
      <c r="DA908" s="109"/>
      <c r="DB908" s="110"/>
      <c r="DC908" s="109"/>
      <c r="DD908" s="111"/>
      <c r="DE908" s="109"/>
      <c r="DF908" s="109"/>
      <c r="DG908" s="110"/>
      <c r="DH908" s="109"/>
      <c r="DI908" s="111"/>
      <c r="DJ908" s="109"/>
      <c r="DK908" s="109"/>
      <c r="DL908" s="110"/>
      <c r="DM908" s="109"/>
      <c r="DN908" s="111"/>
      <c r="DO908" s="109"/>
      <c r="DP908" s="109"/>
      <c r="DQ908" s="110"/>
      <c r="DR908" s="109"/>
      <c r="DS908" s="111"/>
      <c r="DT908" s="109"/>
      <c r="DU908" s="109"/>
      <c r="DV908" s="110"/>
      <c r="DW908" s="109"/>
      <c r="DX908" s="111"/>
      <c r="DY908" s="109"/>
      <c r="DZ908" s="109"/>
      <c r="EA908" s="110"/>
      <c r="EB908" s="109"/>
      <c r="EC908" s="111"/>
      <c r="ED908" s="109"/>
      <c r="EE908" s="109"/>
      <c r="EF908" s="110"/>
      <c r="EG908" s="109"/>
      <c r="EH908" s="111"/>
      <c r="EI908" s="109"/>
      <c r="EJ908" s="109"/>
      <c r="EK908" s="110"/>
      <c r="EL908" s="109"/>
      <c r="EM908" s="111"/>
      <c r="EN908" s="109"/>
      <c r="EO908" s="109"/>
      <c r="EP908" s="110"/>
      <c r="EQ908" s="109"/>
      <c r="ER908" s="111"/>
      <c r="ES908" s="109"/>
      <c r="ET908" s="109"/>
      <c r="EU908" s="110"/>
      <c r="EV908" s="109"/>
      <c r="EW908" s="111"/>
      <c r="EX908" s="109"/>
      <c r="EY908" s="109"/>
      <c r="EZ908" s="110"/>
      <c r="FA908" s="109"/>
      <c r="FB908" s="111"/>
      <c r="FC908" s="109"/>
      <c r="FD908" s="109"/>
      <c r="FE908" s="110"/>
      <c r="FF908" s="109"/>
      <c r="FG908" s="111"/>
      <c r="FH908" s="109"/>
      <c r="FI908" s="109"/>
      <c r="FJ908" s="110"/>
      <c r="FK908" s="109"/>
      <c r="FL908" s="111"/>
      <c r="FM908" s="109"/>
      <c r="FN908" s="109"/>
      <c r="FO908" s="110"/>
      <c r="FP908" s="109"/>
      <c r="FQ908" s="111"/>
      <c r="FR908" s="109"/>
      <c r="FS908" s="109"/>
      <c r="FT908" s="110"/>
      <c r="FU908" s="109"/>
      <c r="FV908" s="111"/>
      <c r="FW908" s="109"/>
      <c r="FX908" s="109"/>
      <c r="FY908" s="110"/>
      <c r="FZ908" s="109"/>
      <c r="GA908" s="111"/>
      <c r="GB908" s="109"/>
      <c r="GC908" s="109"/>
      <c r="GD908" s="110"/>
      <c r="GE908" s="109"/>
      <c r="GF908" s="111"/>
      <c r="GG908" s="109"/>
      <c r="GH908" s="109"/>
      <c r="GI908" s="110"/>
      <c r="GJ908" s="109"/>
      <c r="GK908" s="111"/>
      <c r="GL908" s="109"/>
      <c r="GM908" s="109"/>
      <c r="GN908" s="110"/>
      <c r="GO908" s="109"/>
      <c r="GP908" s="111"/>
      <c r="GQ908" s="109"/>
      <c r="GR908" s="109"/>
      <c r="GS908" s="110"/>
      <c r="GT908" s="109"/>
      <c r="GU908" s="111"/>
      <c r="GV908" s="109"/>
      <c r="GW908" s="109"/>
      <c r="GX908" s="110"/>
      <c r="GY908" s="109"/>
      <c r="GZ908" s="111"/>
      <c r="HA908" s="109"/>
      <c r="HB908" s="109"/>
      <c r="HC908" s="110"/>
      <c r="HD908" s="109"/>
      <c r="HE908" s="111"/>
      <c r="HF908" s="109"/>
      <c r="HG908" s="109"/>
      <c r="HH908" s="110"/>
      <c r="HI908" s="109"/>
      <c r="HJ908" s="111"/>
      <c r="HK908" s="109"/>
      <c r="HL908" s="109"/>
      <c r="HM908" s="110"/>
      <c r="HN908" s="109"/>
      <c r="HO908" s="111"/>
      <c r="HP908" s="109"/>
      <c r="HQ908" s="109"/>
      <c r="HR908" s="110"/>
      <c r="HS908" s="109"/>
      <c r="HT908" s="111"/>
      <c r="HU908" s="109"/>
      <c r="HV908" s="109"/>
      <c r="HW908" s="110"/>
      <c r="HX908" s="109"/>
      <c r="HY908" s="111"/>
      <c r="HZ908" s="109"/>
      <c r="IA908" s="109"/>
      <c r="IB908" s="110"/>
      <c r="IC908" s="109"/>
      <c r="ID908" s="111"/>
      <c r="IE908" s="109"/>
      <c r="IF908" s="109"/>
      <c r="IG908" s="110"/>
      <c r="IH908" s="109"/>
      <c r="II908" s="111"/>
      <c r="IJ908" s="109"/>
      <c r="IK908" s="109"/>
      <c r="IL908" s="110"/>
      <c r="IM908" s="109"/>
      <c r="IN908" s="111"/>
      <c r="IO908" s="109"/>
      <c r="IP908" s="109"/>
      <c r="IQ908" s="110"/>
      <c r="IR908" s="109"/>
      <c r="IS908" s="111"/>
      <c r="IT908" s="109"/>
      <c r="IU908" s="109"/>
      <c r="IV908" s="110"/>
    </row>
    <row r="909" spans="1:256" s="123" customFormat="1" ht="14.25">
      <c r="A909" s="134">
        <v>37173</v>
      </c>
      <c r="B909" s="111">
        <v>45.817</v>
      </c>
      <c r="C909" s="111">
        <f t="shared" si="15"/>
        <v>0.045817000000000004</v>
      </c>
      <c r="D909" s="111">
        <v>28.5976</v>
      </c>
      <c r="E909" s="111">
        <v>31.0371</v>
      </c>
      <c r="F909" s="131"/>
      <c r="G909" s="109"/>
      <c r="H909" s="111"/>
      <c r="I909" s="109"/>
      <c r="J909" s="109"/>
      <c r="K909" s="110"/>
      <c r="L909" s="109"/>
      <c r="M909" s="111"/>
      <c r="N909" s="109"/>
      <c r="O909" s="109"/>
      <c r="P909" s="110"/>
      <c r="Q909" s="109"/>
      <c r="R909" s="111"/>
      <c r="S909" s="109"/>
      <c r="T909" s="109"/>
      <c r="U909" s="110"/>
      <c r="V909" s="109"/>
      <c r="W909" s="111"/>
      <c r="X909" s="109"/>
      <c r="Y909" s="109"/>
      <c r="Z909" s="110"/>
      <c r="AA909" s="109"/>
      <c r="AB909" s="111"/>
      <c r="AC909" s="109"/>
      <c r="AD909" s="109"/>
      <c r="AE909" s="110"/>
      <c r="AF909" s="109"/>
      <c r="AG909" s="111"/>
      <c r="AH909" s="109"/>
      <c r="AI909" s="109"/>
      <c r="AJ909" s="110"/>
      <c r="AK909" s="109"/>
      <c r="AL909" s="111"/>
      <c r="AM909" s="109"/>
      <c r="AN909" s="109"/>
      <c r="AO909" s="110"/>
      <c r="AP909" s="109"/>
      <c r="AQ909" s="111"/>
      <c r="AR909" s="109"/>
      <c r="AS909" s="109"/>
      <c r="AT909" s="110"/>
      <c r="AU909" s="109"/>
      <c r="AV909" s="111"/>
      <c r="AW909" s="109"/>
      <c r="AX909" s="109"/>
      <c r="AY909" s="110"/>
      <c r="AZ909" s="109"/>
      <c r="BA909" s="111"/>
      <c r="BB909" s="109"/>
      <c r="BC909" s="109"/>
      <c r="BD909" s="110"/>
      <c r="BE909" s="109"/>
      <c r="BF909" s="111"/>
      <c r="BG909" s="109"/>
      <c r="BH909" s="109"/>
      <c r="BI909" s="110"/>
      <c r="BJ909" s="109"/>
      <c r="BK909" s="111"/>
      <c r="BL909" s="109"/>
      <c r="BM909" s="109"/>
      <c r="BN909" s="110"/>
      <c r="BO909" s="109"/>
      <c r="BP909" s="111"/>
      <c r="BQ909" s="109"/>
      <c r="BR909" s="109"/>
      <c r="BS909" s="110"/>
      <c r="BT909" s="109"/>
      <c r="BU909" s="111"/>
      <c r="BV909" s="109"/>
      <c r="BW909" s="109"/>
      <c r="BX909" s="110"/>
      <c r="BY909" s="109"/>
      <c r="BZ909" s="111"/>
      <c r="CA909" s="109"/>
      <c r="CB909" s="109"/>
      <c r="CC909" s="110"/>
      <c r="CD909" s="109"/>
      <c r="CE909" s="111"/>
      <c r="CF909" s="109"/>
      <c r="CG909" s="109"/>
      <c r="CH909" s="110"/>
      <c r="CI909" s="109"/>
      <c r="CJ909" s="111"/>
      <c r="CK909" s="109"/>
      <c r="CL909" s="109"/>
      <c r="CM909" s="110"/>
      <c r="CN909" s="109"/>
      <c r="CO909" s="111"/>
      <c r="CP909" s="109"/>
      <c r="CQ909" s="109"/>
      <c r="CR909" s="110"/>
      <c r="CS909" s="109"/>
      <c r="CT909" s="111"/>
      <c r="CU909" s="109"/>
      <c r="CV909" s="109"/>
      <c r="CW909" s="110"/>
      <c r="CX909" s="109"/>
      <c r="CY909" s="111"/>
      <c r="CZ909" s="109"/>
      <c r="DA909" s="109"/>
      <c r="DB909" s="110"/>
      <c r="DC909" s="109"/>
      <c r="DD909" s="111"/>
      <c r="DE909" s="109"/>
      <c r="DF909" s="109"/>
      <c r="DG909" s="110"/>
      <c r="DH909" s="109"/>
      <c r="DI909" s="111"/>
      <c r="DJ909" s="109"/>
      <c r="DK909" s="109"/>
      <c r="DL909" s="110"/>
      <c r="DM909" s="109"/>
      <c r="DN909" s="111"/>
      <c r="DO909" s="109"/>
      <c r="DP909" s="109"/>
      <c r="DQ909" s="110"/>
      <c r="DR909" s="109"/>
      <c r="DS909" s="111"/>
      <c r="DT909" s="109"/>
      <c r="DU909" s="109"/>
      <c r="DV909" s="110"/>
      <c r="DW909" s="109"/>
      <c r="DX909" s="111"/>
      <c r="DY909" s="109"/>
      <c r="DZ909" s="109"/>
      <c r="EA909" s="110"/>
      <c r="EB909" s="109"/>
      <c r="EC909" s="111"/>
      <c r="ED909" s="109"/>
      <c r="EE909" s="109"/>
      <c r="EF909" s="110"/>
      <c r="EG909" s="109"/>
      <c r="EH909" s="111"/>
      <c r="EI909" s="109"/>
      <c r="EJ909" s="109"/>
      <c r="EK909" s="110"/>
      <c r="EL909" s="109"/>
      <c r="EM909" s="111"/>
      <c r="EN909" s="109"/>
      <c r="EO909" s="109"/>
      <c r="EP909" s="110"/>
      <c r="EQ909" s="109"/>
      <c r="ER909" s="111"/>
      <c r="ES909" s="109"/>
      <c r="ET909" s="109"/>
      <c r="EU909" s="110"/>
      <c r="EV909" s="109"/>
      <c r="EW909" s="111"/>
      <c r="EX909" s="109"/>
      <c r="EY909" s="109"/>
      <c r="EZ909" s="110"/>
      <c r="FA909" s="109"/>
      <c r="FB909" s="111"/>
      <c r="FC909" s="109"/>
      <c r="FD909" s="109"/>
      <c r="FE909" s="110"/>
      <c r="FF909" s="109"/>
      <c r="FG909" s="111"/>
      <c r="FH909" s="109"/>
      <c r="FI909" s="109"/>
      <c r="FJ909" s="110"/>
      <c r="FK909" s="109"/>
      <c r="FL909" s="111"/>
      <c r="FM909" s="109"/>
      <c r="FN909" s="109"/>
      <c r="FO909" s="110"/>
      <c r="FP909" s="109"/>
      <c r="FQ909" s="111"/>
      <c r="FR909" s="109"/>
      <c r="FS909" s="109"/>
      <c r="FT909" s="110"/>
      <c r="FU909" s="109"/>
      <c r="FV909" s="111"/>
      <c r="FW909" s="109"/>
      <c r="FX909" s="109"/>
      <c r="FY909" s="110"/>
      <c r="FZ909" s="109"/>
      <c r="GA909" s="111"/>
      <c r="GB909" s="109"/>
      <c r="GC909" s="109"/>
      <c r="GD909" s="110"/>
      <c r="GE909" s="109"/>
      <c r="GF909" s="111"/>
      <c r="GG909" s="109"/>
      <c r="GH909" s="109"/>
      <c r="GI909" s="110"/>
      <c r="GJ909" s="109"/>
      <c r="GK909" s="111"/>
      <c r="GL909" s="109"/>
      <c r="GM909" s="109"/>
      <c r="GN909" s="110"/>
      <c r="GO909" s="109"/>
      <c r="GP909" s="111"/>
      <c r="GQ909" s="109"/>
      <c r="GR909" s="109"/>
      <c r="GS909" s="110"/>
      <c r="GT909" s="109"/>
      <c r="GU909" s="111"/>
      <c r="GV909" s="109"/>
      <c r="GW909" s="109"/>
      <c r="GX909" s="110"/>
      <c r="GY909" s="109"/>
      <c r="GZ909" s="111"/>
      <c r="HA909" s="109"/>
      <c r="HB909" s="109"/>
      <c r="HC909" s="110"/>
      <c r="HD909" s="109"/>
      <c r="HE909" s="111"/>
      <c r="HF909" s="109"/>
      <c r="HG909" s="109"/>
      <c r="HH909" s="110"/>
      <c r="HI909" s="109"/>
      <c r="HJ909" s="111"/>
      <c r="HK909" s="109"/>
      <c r="HL909" s="109"/>
      <c r="HM909" s="110"/>
      <c r="HN909" s="109"/>
      <c r="HO909" s="111"/>
      <c r="HP909" s="109"/>
      <c r="HQ909" s="109"/>
      <c r="HR909" s="110"/>
      <c r="HS909" s="109"/>
      <c r="HT909" s="111"/>
      <c r="HU909" s="109"/>
      <c r="HV909" s="109"/>
      <c r="HW909" s="110"/>
      <c r="HX909" s="109"/>
      <c r="HY909" s="111"/>
      <c r="HZ909" s="109"/>
      <c r="IA909" s="109"/>
      <c r="IB909" s="110"/>
      <c r="IC909" s="109"/>
      <c r="ID909" s="111"/>
      <c r="IE909" s="109"/>
      <c r="IF909" s="109"/>
      <c r="IG909" s="110"/>
      <c r="IH909" s="109"/>
      <c r="II909" s="111"/>
      <c r="IJ909" s="109"/>
      <c r="IK909" s="109"/>
      <c r="IL909" s="110"/>
      <c r="IM909" s="109"/>
      <c r="IN909" s="111"/>
      <c r="IO909" s="109"/>
      <c r="IP909" s="109"/>
      <c r="IQ909" s="110"/>
      <c r="IR909" s="109"/>
      <c r="IS909" s="111"/>
      <c r="IT909" s="109"/>
      <c r="IU909" s="109"/>
      <c r="IV909" s="110"/>
    </row>
    <row r="910" spans="1:256" s="123" customFormat="1" ht="14.25">
      <c r="A910" s="134">
        <v>37174</v>
      </c>
      <c r="B910" s="111">
        <v>44.7628</v>
      </c>
      <c r="C910" s="111">
        <f t="shared" si="15"/>
        <v>0.0447628</v>
      </c>
      <c r="D910" s="111">
        <v>27.7781</v>
      </c>
      <c r="E910" s="111">
        <v>30.2166</v>
      </c>
      <c r="F910" s="131"/>
      <c r="G910" s="109"/>
      <c r="H910" s="111"/>
      <c r="I910" s="109"/>
      <c r="J910" s="109"/>
      <c r="K910" s="110"/>
      <c r="L910" s="109"/>
      <c r="M910" s="111"/>
      <c r="N910" s="109"/>
      <c r="O910" s="109"/>
      <c r="P910" s="110"/>
      <c r="Q910" s="109"/>
      <c r="R910" s="111"/>
      <c r="S910" s="109"/>
      <c r="T910" s="109"/>
      <c r="U910" s="110"/>
      <c r="V910" s="109"/>
      <c r="W910" s="111"/>
      <c r="X910" s="109"/>
      <c r="Y910" s="109"/>
      <c r="Z910" s="110"/>
      <c r="AA910" s="109"/>
      <c r="AB910" s="111"/>
      <c r="AC910" s="109"/>
      <c r="AD910" s="109"/>
      <c r="AE910" s="110"/>
      <c r="AF910" s="109"/>
      <c r="AG910" s="111"/>
      <c r="AH910" s="109"/>
      <c r="AI910" s="109"/>
      <c r="AJ910" s="110"/>
      <c r="AK910" s="109"/>
      <c r="AL910" s="111"/>
      <c r="AM910" s="109"/>
      <c r="AN910" s="109"/>
      <c r="AO910" s="110"/>
      <c r="AP910" s="109"/>
      <c r="AQ910" s="111"/>
      <c r="AR910" s="109"/>
      <c r="AS910" s="109"/>
      <c r="AT910" s="110"/>
      <c r="AU910" s="109"/>
      <c r="AV910" s="111"/>
      <c r="AW910" s="109"/>
      <c r="AX910" s="109"/>
      <c r="AY910" s="110"/>
      <c r="AZ910" s="109"/>
      <c r="BA910" s="111"/>
      <c r="BB910" s="109"/>
      <c r="BC910" s="109"/>
      <c r="BD910" s="110"/>
      <c r="BE910" s="109"/>
      <c r="BF910" s="111"/>
      <c r="BG910" s="109"/>
      <c r="BH910" s="109"/>
      <c r="BI910" s="110"/>
      <c r="BJ910" s="109"/>
      <c r="BK910" s="111"/>
      <c r="BL910" s="109"/>
      <c r="BM910" s="109"/>
      <c r="BN910" s="110"/>
      <c r="BO910" s="109"/>
      <c r="BP910" s="111"/>
      <c r="BQ910" s="109"/>
      <c r="BR910" s="109"/>
      <c r="BS910" s="110"/>
      <c r="BT910" s="109"/>
      <c r="BU910" s="111"/>
      <c r="BV910" s="109"/>
      <c r="BW910" s="109"/>
      <c r="BX910" s="110"/>
      <c r="BY910" s="109"/>
      <c r="BZ910" s="111"/>
      <c r="CA910" s="109"/>
      <c r="CB910" s="109"/>
      <c r="CC910" s="110"/>
      <c r="CD910" s="109"/>
      <c r="CE910" s="111"/>
      <c r="CF910" s="109"/>
      <c r="CG910" s="109"/>
      <c r="CH910" s="110"/>
      <c r="CI910" s="109"/>
      <c r="CJ910" s="111"/>
      <c r="CK910" s="109"/>
      <c r="CL910" s="109"/>
      <c r="CM910" s="110"/>
      <c r="CN910" s="109"/>
      <c r="CO910" s="111"/>
      <c r="CP910" s="109"/>
      <c r="CQ910" s="109"/>
      <c r="CR910" s="110"/>
      <c r="CS910" s="109"/>
      <c r="CT910" s="111"/>
      <c r="CU910" s="109"/>
      <c r="CV910" s="109"/>
      <c r="CW910" s="110"/>
      <c r="CX910" s="109"/>
      <c r="CY910" s="111"/>
      <c r="CZ910" s="109"/>
      <c r="DA910" s="109"/>
      <c r="DB910" s="110"/>
      <c r="DC910" s="109"/>
      <c r="DD910" s="111"/>
      <c r="DE910" s="109"/>
      <c r="DF910" s="109"/>
      <c r="DG910" s="110"/>
      <c r="DH910" s="109"/>
      <c r="DI910" s="111"/>
      <c r="DJ910" s="109"/>
      <c r="DK910" s="109"/>
      <c r="DL910" s="110"/>
      <c r="DM910" s="109"/>
      <c r="DN910" s="111"/>
      <c r="DO910" s="109"/>
      <c r="DP910" s="109"/>
      <c r="DQ910" s="110"/>
      <c r="DR910" s="109"/>
      <c r="DS910" s="111"/>
      <c r="DT910" s="109"/>
      <c r="DU910" s="109"/>
      <c r="DV910" s="110"/>
      <c r="DW910" s="109"/>
      <c r="DX910" s="111"/>
      <c r="DY910" s="109"/>
      <c r="DZ910" s="109"/>
      <c r="EA910" s="110"/>
      <c r="EB910" s="109"/>
      <c r="EC910" s="111"/>
      <c r="ED910" s="109"/>
      <c r="EE910" s="109"/>
      <c r="EF910" s="110"/>
      <c r="EG910" s="109"/>
      <c r="EH910" s="111"/>
      <c r="EI910" s="109"/>
      <c r="EJ910" s="109"/>
      <c r="EK910" s="110"/>
      <c r="EL910" s="109"/>
      <c r="EM910" s="111"/>
      <c r="EN910" s="109"/>
      <c r="EO910" s="109"/>
      <c r="EP910" s="110"/>
      <c r="EQ910" s="109"/>
      <c r="ER910" s="111"/>
      <c r="ES910" s="109"/>
      <c r="ET910" s="109"/>
      <c r="EU910" s="110"/>
      <c r="EV910" s="109"/>
      <c r="EW910" s="111"/>
      <c r="EX910" s="109"/>
      <c r="EY910" s="109"/>
      <c r="EZ910" s="110"/>
      <c r="FA910" s="109"/>
      <c r="FB910" s="111"/>
      <c r="FC910" s="109"/>
      <c r="FD910" s="109"/>
      <c r="FE910" s="110"/>
      <c r="FF910" s="109"/>
      <c r="FG910" s="111"/>
      <c r="FH910" s="109"/>
      <c r="FI910" s="109"/>
      <c r="FJ910" s="110"/>
      <c r="FK910" s="109"/>
      <c r="FL910" s="111"/>
      <c r="FM910" s="109"/>
      <c r="FN910" s="109"/>
      <c r="FO910" s="110"/>
      <c r="FP910" s="109"/>
      <c r="FQ910" s="111"/>
      <c r="FR910" s="109"/>
      <c r="FS910" s="109"/>
      <c r="FT910" s="110"/>
      <c r="FU910" s="109"/>
      <c r="FV910" s="111"/>
      <c r="FW910" s="109"/>
      <c r="FX910" s="109"/>
      <c r="FY910" s="110"/>
      <c r="FZ910" s="109"/>
      <c r="GA910" s="111"/>
      <c r="GB910" s="109"/>
      <c r="GC910" s="109"/>
      <c r="GD910" s="110"/>
      <c r="GE910" s="109"/>
      <c r="GF910" s="111"/>
      <c r="GG910" s="109"/>
      <c r="GH910" s="109"/>
      <c r="GI910" s="110"/>
      <c r="GJ910" s="109"/>
      <c r="GK910" s="111"/>
      <c r="GL910" s="109"/>
      <c r="GM910" s="109"/>
      <c r="GN910" s="110"/>
      <c r="GO910" s="109"/>
      <c r="GP910" s="111"/>
      <c r="GQ910" s="109"/>
      <c r="GR910" s="109"/>
      <c r="GS910" s="110"/>
      <c r="GT910" s="109"/>
      <c r="GU910" s="111"/>
      <c r="GV910" s="109"/>
      <c r="GW910" s="109"/>
      <c r="GX910" s="110"/>
      <c r="GY910" s="109"/>
      <c r="GZ910" s="111"/>
      <c r="HA910" s="109"/>
      <c r="HB910" s="109"/>
      <c r="HC910" s="110"/>
      <c r="HD910" s="109"/>
      <c r="HE910" s="111"/>
      <c r="HF910" s="109"/>
      <c r="HG910" s="109"/>
      <c r="HH910" s="110"/>
      <c r="HI910" s="109"/>
      <c r="HJ910" s="111"/>
      <c r="HK910" s="109"/>
      <c r="HL910" s="109"/>
      <c r="HM910" s="110"/>
      <c r="HN910" s="109"/>
      <c r="HO910" s="111"/>
      <c r="HP910" s="109"/>
      <c r="HQ910" s="109"/>
      <c r="HR910" s="110"/>
      <c r="HS910" s="109"/>
      <c r="HT910" s="111"/>
      <c r="HU910" s="109"/>
      <c r="HV910" s="109"/>
      <c r="HW910" s="110"/>
      <c r="HX910" s="109"/>
      <c r="HY910" s="111"/>
      <c r="HZ910" s="109"/>
      <c r="IA910" s="109"/>
      <c r="IB910" s="110"/>
      <c r="IC910" s="109"/>
      <c r="ID910" s="111"/>
      <c r="IE910" s="109"/>
      <c r="IF910" s="109"/>
      <c r="IG910" s="110"/>
      <c r="IH910" s="109"/>
      <c r="II910" s="111"/>
      <c r="IJ910" s="109"/>
      <c r="IK910" s="109"/>
      <c r="IL910" s="110"/>
      <c r="IM910" s="109"/>
      <c r="IN910" s="111"/>
      <c r="IO910" s="109"/>
      <c r="IP910" s="109"/>
      <c r="IQ910" s="110"/>
      <c r="IR910" s="109"/>
      <c r="IS910" s="111"/>
      <c r="IT910" s="109"/>
      <c r="IU910" s="109"/>
      <c r="IV910" s="110"/>
    </row>
    <row r="911" spans="1:256" s="123" customFormat="1" ht="14.25">
      <c r="A911" s="134">
        <v>37175</v>
      </c>
      <c r="B911" s="111">
        <v>45.0966</v>
      </c>
      <c r="C911" s="111">
        <f t="shared" si="15"/>
        <v>0.0450966</v>
      </c>
      <c r="D911" s="111">
        <v>27.7892</v>
      </c>
      <c r="E911" s="111">
        <v>30.4172</v>
      </c>
      <c r="F911" s="131"/>
      <c r="G911" s="109"/>
      <c r="H911" s="111"/>
      <c r="I911" s="109"/>
      <c r="J911" s="109"/>
      <c r="K911" s="110"/>
      <c r="L911" s="109"/>
      <c r="M911" s="111"/>
      <c r="N911" s="109"/>
      <c r="O911" s="109"/>
      <c r="P911" s="110"/>
      <c r="Q911" s="109"/>
      <c r="R911" s="111"/>
      <c r="S911" s="109"/>
      <c r="T911" s="109"/>
      <c r="U911" s="110"/>
      <c r="V911" s="109"/>
      <c r="W911" s="111"/>
      <c r="X911" s="109"/>
      <c r="Y911" s="109"/>
      <c r="Z911" s="110"/>
      <c r="AA911" s="109"/>
      <c r="AB911" s="111"/>
      <c r="AC911" s="109"/>
      <c r="AD911" s="109"/>
      <c r="AE911" s="110"/>
      <c r="AF911" s="109"/>
      <c r="AG911" s="111"/>
      <c r="AH911" s="109"/>
      <c r="AI911" s="109"/>
      <c r="AJ911" s="110"/>
      <c r="AK911" s="109"/>
      <c r="AL911" s="111"/>
      <c r="AM911" s="109"/>
      <c r="AN911" s="109"/>
      <c r="AO911" s="110"/>
      <c r="AP911" s="109"/>
      <c r="AQ911" s="111"/>
      <c r="AR911" s="109"/>
      <c r="AS911" s="109"/>
      <c r="AT911" s="110"/>
      <c r="AU911" s="109"/>
      <c r="AV911" s="111"/>
      <c r="AW911" s="109"/>
      <c r="AX911" s="109"/>
      <c r="AY911" s="110"/>
      <c r="AZ911" s="109"/>
      <c r="BA911" s="111"/>
      <c r="BB911" s="109"/>
      <c r="BC911" s="109"/>
      <c r="BD911" s="110"/>
      <c r="BE911" s="109"/>
      <c r="BF911" s="111"/>
      <c r="BG911" s="109"/>
      <c r="BH911" s="109"/>
      <c r="BI911" s="110"/>
      <c r="BJ911" s="109"/>
      <c r="BK911" s="111"/>
      <c r="BL911" s="109"/>
      <c r="BM911" s="109"/>
      <c r="BN911" s="110"/>
      <c r="BO911" s="109"/>
      <c r="BP911" s="111"/>
      <c r="BQ911" s="109"/>
      <c r="BR911" s="109"/>
      <c r="BS911" s="110"/>
      <c r="BT911" s="109"/>
      <c r="BU911" s="111"/>
      <c r="BV911" s="109"/>
      <c r="BW911" s="109"/>
      <c r="BX911" s="110"/>
      <c r="BY911" s="109"/>
      <c r="BZ911" s="111"/>
      <c r="CA911" s="109"/>
      <c r="CB911" s="109"/>
      <c r="CC911" s="110"/>
      <c r="CD911" s="109"/>
      <c r="CE911" s="111"/>
      <c r="CF911" s="109"/>
      <c r="CG911" s="109"/>
      <c r="CH911" s="110"/>
      <c r="CI911" s="109"/>
      <c r="CJ911" s="111"/>
      <c r="CK911" s="109"/>
      <c r="CL911" s="109"/>
      <c r="CM911" s="110"/>
      <c r="CN911" s="109"/>
      <c r="CO911" s="111"/>
      <c r="CP911" s="109"/>
      <c r="CQ911" s="109"/>
      <c r="CR911" s="110"/>
      <c r="CS911" s="109"/>
      <c r="CT911" s="111"/>
      <c r="CU911" s="109"/>
      <c r="CV911" s="109"/>
      <c r="CW911" s="110"/>
      <c r="CX911" s="109"/>
      <c r="CY911" s="111"/>
      <c r="CZ911" s="109"/>
      <c r="DA911" s="109"/>
      <c r="DB911" s="110"/>
      <c r="DC911" s="109"/>
      <c r="DD911" s="111"/>
      <c r="DE911" s="109"/>
      <c r="DF911" s="109"/>
      <c r="DG911" s="110"/>
      <c r="DH911" s="109"/>
      <c r="DI911" s="111"/>
      <c r="DJ911" s="109"/>
      <c r="DK911" s="109"/>
      <c r="DL911" s="110"/>
      <c r="DM911" s="109"/>
      <c r="DN911" s="111"/>
      <c r="DO911" s="109"/>
      <c r="DP911" s="109"/>
      <c r="DQ911" s="110"/>
      <c r="DR911" s="109"/>
      <c r="DS911" s="111"/>
      <c r="DT911" s="109"/>
      <c r="DU911" s="109"/>
      <c r="DV911" s="110"/>
      <c r="DW911" s="109"/>
      <c r="DX911" s="111"/>
      <c r="DY911" s="109"/>
      <c r="DZ911" s="109"/>
      <c r="EA911" s="110"/>
      <c r="EB911" s="109"/>
      <c r="EC911" s="111"/>
      <c r="ED911" s="109"/>
      <c r="EE911" s="109"/>
      <c r="EF911" s="110"/>
      <c r="EG911" s="109"/>
      <c r="EH911" s="111"/>
      <c r="EI911" s="109"/>
      <c r="EJ911" s="109"/>
      <c r="EK911" s="110"/>
      <c r="EL911" s="109"/>
      <c r="EM911" s="111"/>
      <c r="EN911" s="109"/>
      <c r="EO911" s="109"/>
      <c r="EP911" s="110"/>
      <c r="EQ911" s="109"/>
      <c r="ER911" s="111"/>
      <c r="ES911" s="109"/>
      <c r="ET911" s="109"/>
      <c r="EU911" s="110"/>
      <c r="EV911" s="109"/>
      <c r="EW911" s="111"/>
      <c r="EX911" s="109"/>
      <c r="EY911" s="109"/>
      <c r="EZ911" s="110"/>
      <c r="FA911" s="109"/>
      <c r="FB911" s="111"/>
      <c r="FC911" s="109"/>
      <c r="FD911" s="109"/>
      <c r="FE911" s="110"/>
      <c r="FF911" s="109"/>
      <c r="FG911" s="111"/>
      <c r="FH911" s="109"/>
      <c r="FI911" s="109"/>
      <c r="FJ911" s="110"/>
      <c r="FK911" s="109"/>
      <c r="FL911" s="111"/>
      <c r="FM911" s="109"/>
      <c r="FN911" s="109"/>
      <c r="FO911" s="110"/>
      <c r="FP911" s="109"/>
      <c r="FQ911" s="111"/>
      <c r="FR911" s="109"/>
      <c r="FS911" s="109"/>
      <c r="FT911" s="110"/>
      <c r="FU911" s="109"/>
      <c r="FV911" s="111"/>
      <c r="FW911" s="109"/>
      <c r="FX911" s="109"/>
      <c r="FY911" s="110"/>
      <c r="FZ911" s="109"/>
      <c r="GA911" s="111"/>
      <c r="GB911" s="109"/>
      <c r="GC911" s="109"/>
      <c r="GD911" s="110"/>
      <c r="GE911" s="109"/>
      <c r="GF911" s="111"/>
      <c r="GG911" s="109"/>
      <c r="GH911" s="109"/>
      <c r="GI911" s="110"/>
      <c r="GJ911" s="109"/>
      <c r="GK911" s="111"/>
      <c r="GL911" s="109"/>
      <c r="GM911" s="109"/>
      <c r="GN911" s="110"/>
      <c r="GO911" s="109"/>
      <c r="GP911" s="111"/>
      <c r="GQ911" s="109"/>
      <c r="GR911" s="109"/>
      <c r="GS911" s="110"/>
      <c r="GT911" s="109"/>
      <c r="GU911" s="111"/>
      <c r="GV911" s="109"/>
      <c r="GW911" s="109"/>
      <c r="GX911" s="110"/>
      <c r="GY911" s="109"/>
      <c r="GZ911" s="111"/>
      <c r="HA911" s="109"/>
      <c r="HB911" s="109"/>
      <c r="HC911" s="110"/>
      <c r="HD911" s="109"/>
      <c r="HE911" s="111"/>
      <c r="HF911" s="109"/>
      <c r="HG911" s="109"/>
      <c r="HH911" s="110"/>
      <c r="HI911" s="109"/>
      <c r="HJ911" s="111"/>
      <c r="HK911" s="109"/>
      <c r="HL911" s="109"/>
      <c r="HM911" s="110"/>
      <c r="HN911" s="109"/>
      <c r="HO911" s="111"/>
      <c r="HP911" s="109"/>
      <c r="HQ911" s="109"/>
      <c r="HR911" s="110"/>
      <c r="HS911" s="109"/>
      <c r="HT911" s="111"/>
      <c r="HU911" s="109"/>
      <c r="HV911" s="109"/>
      <c r="HW911" s="110"/>
      <c r="HX911" s="109"/>
      <c r="HY911" s="111"/>
      <c r="HZ911" s="109"/>
      <c r="IA911" s="109"/>
      <c r="IB911" s="110"/>
      <c r="IC911" s="109"/>
      <c r="ID911" s="111"/>
      <c r="IE911" s="109"/>
      <c r="IF911" s="109"/>
      <c r="IG911" s="110"/>
      <c r="IH911" s="109"/>
      <c r="II911" s="111"/>
      <c r="IJ911" s="109"/>
      <c r="IK911" s="109"/>
      <c r="IL911" s="110"/>
      <c r="IM911" s="109"/>
      <c r="IN911" s="111"/>
      <c r="IO911" s="109"/>
      <c r="IP911" s="109"/>
      <c r="IQ911" s="110"/>
      <c r="IR911" s="109"/>
      <c r="IS911" s="111"/>
      <c r="IT911" s="109"/>
      <c r="IU911" s="109"/>
      <c r="IV911" s="110"/>
    </row>
    <row r="912" spans="1:256" s="123" customFormat="1" ht="14.25">
      <c r="A912" s="134">
        <v>37176</v>
      </c>
      <c r="B912" s="111">
        <v>44.9577</v>
      </c>
      <c r="C912" s="111">
        <f t="shared" si="15"/>
        <v>0.0449577</v>
      </c>
      <c r="D912" s="111">
        <v>27.4311</v>
      </c>
      <c r="E912" s="111">
        <v>30.2705</v>
      </c>
      <c r="F912" s="131"/>
      <c r="G912" s="109"/>
      <c r="H912" s="111"/>
      <c r="I912" s="109"/>
      <c r="J912" s="109"/>
      <c r="K912" s="110"/>
      <c r="L912" s="109"/>
      <c r="M912" s="111"/>
      <c r="N912" s="109"/>
      <c r="O912" s="109"/>
      <c r="P912" s="110"/>
      <c r="Q912" s="109"/>
      <c r="R912" s="111"/>
      <c r="S912" s="109"/>
      <c r="T912" s="109"/>
      <c r="U912" s="110"/>
      <c r="V912" s="109"/>
      <c r="W912" s="111"/>
      <c r="X912" s="109"/>
      <c r="Y912" s="109"/>
      <c r="Z912" s="110"/>
      <c r="AA912" s="109"/>
      <c r="AB912" s="111"/>
      <c r="AC912" s="109"/>
      <c r="AD912" s="109"/>
      <c r="AE912" s="110"/>
      <c r="AF912" s="109"/>
      <c r="AG912" s="111"/>
      <c r="AH912" s="109"/>
      <c r="AI912" s="109"/>
      <c r="AJ912" s="110"/>
      <c r="AK912" s="109"/>
      <c r="AL912" s="111"/>
      <c r="AM912" s="109"/>
      <c r="AN912" s="109"/>
      <c r="AO912" s="110"/>
      <c r="AP912" s="109"/>
      <c r="AQ912" s="111"/>
      <c r="AR912" s="109"/>
      <c r="AS912" s="109"/>
      <c r="AT912" s="110"/>
      <c r="AU912" s="109"/>
      <c r="AV912" s="111"/>
      <c r="AW912" s="109"/>
      <c r="AX912" s="109"/>
      <c r="AY912" s="110"/>
      <c r="AZ912" s="109"/>
      <c r="BA912" s="111"/>
      <c r="BB912" s="109"/>
      <c r="BC912" s="109"/>
      <c r="BD912" s="110"/>
      <c r="BE912" s="109"/>
      <c r="BF912" s="111"/>
      <c r="BG912" s="109"/>
      <c r="BH912" s="109"/>
      <c r="BI912" s="110"/>
      <c r="BJ912" s="109"/>
      <c r="BK912" s="111"/>
      <c r="BL912" s="109"/>
      <c r="BM912" s="109"/>
      <c r="BN912" s="110"/>
      <c r="BO912" s="109"/>
      <c r="BP912" s="111"/>
      <c r="BQ912" s="109"/>
      <c r="BR912" s="109"/>
      <c r="BS912" s="110"/>
      <c r="BT912" s="109"/>
      <c r="BU912" s="111"/>
      <c r="BV912" s="109"/>
      <c r="BW912" s="109"/>
      <c r="BX912" s="110"/>
      <c r="BY912" s="109"/>
      <c r="BZ912" s="111"/>
      <c r="CA912" s="109"/>
      <c r="CB912" s="109"/>
      <c r="CC912" s="110"/>
      <c r="CD912" s="109"/>
      <c r="CE912" s="111"/>
      <c r="CF912" s="109"/>
      <c r="CG912" s="109"/>
      <c r="CH912" s="110"/>
      <c r="CI912" s="109"/>
      <c r="CJ912" s="111"/>
      <c r="CK912" s="109"/>
      <c r="CL912" s="109"/>
      <c r="CM912" s="110"/>
      <c r="CN912" s="109"/>
      <c r="CO912" s="111"/>
      <c r="CP912" s="109"/>
      <c r="CQ912" s="109"/>
      <c r="CR912" s="110"/>
      <c r="CS912" s="109"/>
      <c r="CT912" s="111"/>
      <c r="CU912" s="109"/>
      <c r="CV912" s="109"/>
      <c r="CW912" s="110"/>
      <c r="CX912" s="109"/>
      <c r="CY912" s="111"/>
      <c r="CZ912" s="109"/>
      <c r="DA912" s="109"/>
      <c r="DB912" s="110"/>
      <c r="DC912" s="109"/>
      <c r="DD912" s="111"/>
      <c r="DE912" s="109"/>
      <c r="DF912" s="109"/>
      <c r="DG912" s="110"/>
      <c r="DH912" s="109"/>
      <c r="DI912" s="111"/>
      <c r="DJ912" s="109"/>
      <c r="DK912" s="109"/>
      <c r="DL912" s="110"/>
      <c r="DM912" s="109"/>
      <c r="DN912" s="111"/>
      <c r="DO912" s="109"/>
      <c r="DP912" s="109"/>
      <c r="DQ912" s="110"/>
      <c r="DR912" s="109"/>
      <c r="DS912" s="111"/>
      <c r="DT912" s="109"/>
      <c r="DU912" s="109"/>
      <c r="DV912" s="110"/>
      <c r="DW912" s="109"/>
      <c r="DX912" s="111"/>
      <c r="DY912" s="109"/>
      <c r="DZ912" s="109"/>
      <c r="EA912" s="110"/>
      <c r="EB912" s="109"/>
      <c r="EC912" s="111"/>
      <c r="ED912" s="109"/>
      <c r="EE912" s="109"/>
      <c r="EF912" s="110"/>
      <c r="EG912" s="109"/>
      <c r="EH912" s="111"/>
      <c r="EI912" s="109"/>
      <c r="EJ912" s="109"/>
      <c r="EK912" s="110"/>
      <c r="EL912" s="109"/>
      <c r="EM912" s="111"/>
      <c r="EN912" s="109"/>
      <c r="EO912" s="109"/>
      <c r="EP912" s="110"/>
      <c r="EQ912" s="109"/>
      <c r="ER912" s="111"/>
      <c r="ES912" s="109"/>
      <c r="ET912" s="109"/>
      <c r="EU912" s="110"/>
      <c r="EV912" s="109"/>
      <c r="EW912" s="111"/>
      <c r="EX912" s="109"/>
      <c r="EY912" s="109"/>
      <c r="EZ912" s="110"/>
      <c r="FA912" s="109"/>
      <c r="FB912" s="111"/>
      <c r="FC912" s="109"/>
      <c r="FD912" s="109"/>
      <c r="FE912" s="110"/>
      <c r="FF912" s="109"/>
      <c r="FG912" s="111"/>
      <c r="FH912" s="109"/>
      <c r="FI912" s="109"/>
      <c r="FJ912" s="110"/>
      <c r="FK912" s="109"/>
      <c r="FL912" s="111"/>
      <c r="FM912" s="109"/>
      <c r="FN912" s="109"/>
      <c r="FO912" s="110"/>
      <c r="FP912" s="109"/>
      <c r="FQ912" s="111"/>
      <c r="FR912" s="109"/>
      <c r="FS912" s="109"/>
      <c r="FT912" s="110"/>
      <c r="FU912" s="109"/>
      <c r="FV912" s="111"/>
      <c r="FW912" s="109"/>
      <c r="FX912" s="109"/>
      <c r="FY912" s="110"/>
      <c r="FZ912" s="109"/>
      <c r="GA912" s="111"/>
      <c r="GB912" s="109"/>
      <c r="GC912" s="109"/>
      <c r="GD912" s="110"/>
      <c r="GE912" s="109"/>
      <c r="GF912" s="111"/>
      <c r="GG912" s="109"/>
      <c r="GH912" s="109"/>
      <c r="GI912" s="110"/>
      <c r="GJ912" s="109"/>
      <c r="GK912" s="111"/>
      <c r="GL912" s="109"/>
      <c r="GM912" s="109"/>
      <c r="GN912" s="110"/>
      <c r="GO912" s="109"/>
      <c r="GP912" s="111"/>
      <c r="GQ912" s="109"/>
      <c r="GR912" s="109"/>
      <c r="GS912" s="110"/>
      <c r="GT912" s="109"/>
      <c r="GU912" s="111"/>
      <c r="GV912" s="109"/>
      <c r="GW912" s="109"/>
      <c r="GX912" s="110"/>
      <c r="GY912" s="109"/>
      <c r="GZ912" s="111"/>
      <c r="HA912" s="109"/>
      <c r="HB912" s="109"/>
      <c r="HC912" s="110"/>
      <c r="HD912" s="109"/>
      <c r="HE912" s="111"/>
      <c r="HF912" s="109"/>
      <c r="HG912" s="109"/>
      <c r="HH912" s="110"/>
      <c r="HI912" s="109"/>
      <c r="HJ912" s="111"/>
      <c r="HK912" s="109"/>
      <c r="HL912" s="109"/>
      <c r="HM912" s="110"/>
      <c r="HN912" s="109"/>
      <c r="HO912" s="111"/>
      <c r="HP912" s="109"/>
      <c r="HQ912" s="109"/>
      <c r="HR912" s="110"/>
      <c r="HS912" s="109"/>
      <c r="HT912" s="111"/>
      <c r="HU912" s="109"/>
      <c r="HV912" s="109"/>
      <c r="HW912" s="110"/>
      <c r="HX912" s="109"/>
      <c r="HY912" s="111"/>
      <c r="HZ912" s="109"/>
      <c r="IA912" s="109"/>
      <c r="IB912" s="110"/>
      <c r="IC912" s="109"/>
      <c r="ID912" s="111"/>
      <c r="IE912" s="109"/>
      <c r="IF912" s="109"/>
      <c r="IG912" s="110"/>
      <c r="IH912" s="109"/>
      <c r="II912" s="111"/>
      <c r="IJ912" s="109"/>
      <c r="IK912" s="109"/>
      <c r="IL912" s="110"/>
      <c r="IM912" s="109"/>
      <c r="IN912" s="111"/>
      <c r="IO912" s="109"/>
      <c r="IP912" s="109"/>
      <c r="IQ912" s="110"/>
      <c r="IR912" s="109"/>
      <c r="IS912" s="111"/>
      <c r="IT912" s="109"/>
      <c r="IU912" s="109"/>
      <c r="IV912" s="110"/>
    </row>
    <row r="913" spans="1:256" s="123" customFormat="1" ht="14.25">
      <c r="A913" s="134">
        <v>37179</v>
      </c>
      <c r="B913" s="111">
        <v>41.8498</v>
      </c>
      <c r="C913" s="111">
        <f t="shared" si="15"/>
        <v>0.0418498</v>
      </c>
      <c r="D913" s="111">
        <v>25.5192</v>
      </c>
      <c r="E913" s="111">
        <v>28.2292</v>
      </c>
      <c r="F913" s="131"/>
      <c r="G913" s="109"/>
      <c r="H913" s="111"/>
      <c r="I913" s="109"/>
      <c r="J913" s="109"/>
      <c r="K913" s="110"/>
      <c r="L913" s="109"/>
      <c r="M913" s="111"/>
      <c r="N913" s="109"/>
      <c r="O913" s="109"/>
      <c r="P913" s="110"/>
      <c r="Q913" s="109"/>
      <c r="R913" s="111"/>
      <c r="S913" s="109"/>
      <c r="T913" s="109"/>
      <c r="U913" s="110"/>
      <c r="V913" s="109"/>
      <c r="W913" s="111"/>
      <c r="X913" s="109"/>
      <c r="Y913" s="109"/>
      <c r="Z913" s="110"/>
      <c r="AA913" s="109"/>
      <c r="AB913" s="111"/>
      <c r="AC913" s="109"/>
      <c r="AD913" s="109"/>
      <c r="AE913" s="110"/>
      <c r="AF913" s="109"/>
      <c r="AG913" s="111"/>
      <c r="AH913" s="109"/>
      <c r="AI913" s="109"/>
      <c r="AJ913" s="110"/>
      <c r="AK913" s="109"/>
      <c r="AL913" s="111"/>
      <c r="AM913" s="109"/>
      <c r="AN913" s="109"/>
      <c r="AO913" s="110"/>
      <c r="AP913" s="109"/>
      <c r="AQ913" s="111"/>
      <c r="AR913" s="109"/>
      <c r="AS913" s="109"/>
      <c r="AT913" s="110"/>
      <c r="AU913" s="109"/>
      <c r="AV913" s="111"/>
      <c r="AW913" s="109"/>
      <c r="AX913" s="109"/>
      <c r="AY913" s="110"/>
      <c r="AZ913" s="109"/>
      <c r="BA913" s="111"/>
      <c r="BB913" s="109"/>
      <c r="BC913" s="109"/>
      <c r="BD913" s="110"/>
      <c r="BE913" s="109"/>
      <c r="BF913" s="111"/>
      <c r="BG913" s="109"/>
      <c r="BH913" s="109"/>
      <c r="BI913" s="110"/>
      <c r="BJ913" s="109"/>
      <c r="BK913" s="111"/>
      <c r="BL913" s="109"/>
      <c r="BM913" s="109"/>
      <c r="BN913" s="110"/>
      <c r="BO913" s="109"/>
      <c r="BP913" s="111"/>
      <c r="BQ913" s="109"/>
      <c r="BR913" s="109"/>
      <c r="BS913" s="110"/>
      <c r="BT913" s="109"/>
      <c r="BU913" s="111"/>
      <c r="BV913" s="109"/>
      <c r="BW913" s="109"/>
      <c r="BX913" s="110"/>
      <c r="BY913" s="109"/>
      <c r="BZ913" s="111"/>
      <c r="CA913" s="109"/>
      <c r="CB913" s="109"/>
      <c r="CC913" s="110"/>
      <c r="CD913" s="109"/>
      <c r="CE913" s="111"/>
      <c r="CF913" s="109"/>
      <c r="CG913" s="109"/>
      <c r="CH913" s="110"/>
      <c r="CI913" s="109"/>
      <c r="CJ913" s="111"/>
      <c r="CK913" s="109"/>
      <c r="CL913" s="109"/>
      <c r="CM913" s="110"/>
      <c r="CN913" s="109"/>
      <c r="CO913" s="111"/>
      <c r="CP913" s="109"/>
      <c r="CQ913" s="109"/>
      <c r="CR913" s="110"/>
      <c r="CS913" s="109"/>
      <c r="CT913" s="111"/>
      <c r="CU913" s="109"/>
      <c r="CV913" s="109"/>
      <c r="CW913" s="110"/>
      <c r="CX913" s="109"/>
      <c r="CY913" s="111"/>
      <c r="CZ913" s="109"/>
      <c r="DA913" s="109"/>
      <c r="DB913" s="110"/>
      <c r="DC913" s="109"/>
      <c r="DD913" s="111"/>
      <c r="DE913" s="109"/>
      <c r="DF913" s="109"/>
      <c r="DG913" s="110"/>
      <c r="DH913" s="109"/>
      <c r="DI913" s="111"/>
      <c r="DJ913" s="109"/>
      <c r="DK913" s="109"/>
      <c r="DL913" s="110"/>
      <c r="DM913" s="109"/>
      <c r="DN913" s="111"/>
      <c r="DO913" s="109"/>
      <c r="DP913" s="109"/>
      <c r="DQ913" s="110"/>
      <c r="DR913" s="109"/>
      <c r="DS913" s="111"/>
      <c r="DT913" s="109"/>
      <c r="DU913" s="109"/>
      <c r="DV913" s="110"/>
      <c r="DW913" s="109"/>
      <c r="DX913" s="111"/>
      <c r="DY913" s="109"/>
      <c r="DZ913" s="109"/>
      <c r="EA913" s="110"/>
      <c r="EB913" s="109"/>
      <c r="EC913" s="111"/>
      <c r="ED913" s="109"/>
      <c r="EE913" s="109"/>
      <c r="EF913" s="110"/>
      <c r="EG913" s="109"/>
      <c r="EH913" s="111"/>
      <c r="EI913" s="109"/>
      <c r="EJ913" s="109"/>
      <c r="EK913" s="110"/>
      <c r="EL913" s="109"/>
      <c r="EM913" s="111"/>
      <c r="EN913" s="109"/>
      <c r="EO913" s="109"/>
      <c r="EP913" s="110"/>
      <c r="EQ913" s="109"/>
      <c r="ER913" s="111"/>
      <c r="ES913" s="109"/>
      <c r="ET913" s="109"/>
      <c r="EU913" s="110"/>
      <c r="EV913" s="109"/>
      <c r="EW913" s="111"/>
      <c r="EX913" s="109"/>
      <c r="EY913" s="109"/>
      <c r="EZ913" s="110"/>
      <c r="FA913" s="109"/>
      <c r="FB913" s="111"/>
      <c r="FC913" s="109"/>
      <c r="FD913" s="109"/>
      <c r="FE913" s="110"/>
      <c r="FF913" s="109"/>
      <c r="FG913" s="111"/>
      <c r="FH913" s="109"/>
      <c r="FI913" s="109"/>
      <c r="FJ913" s="110"/>
      <c r="FK913" s="109"/>
      <c r="FL913" s="111"/>
      <c r="FM913" s="109"/>
      <c r="FN913" s="109"/>
      <c r="FO913" s="110"/>
      <c r="FP913" s="109"/>
      <c r="FQ913" s="111"/>
      <c r="FR913" s="109"/>
      <c r="FS913" s="109"/>
      <c r="FT913" s="110"/>
      <c r="FU913" s="109"/>
      <c r="FV913" s="111"/>
      <c r="FW913" s="109"/>
      <c r="FX913" s="109"/>
      <c r="FY913" s="110"/>
      <c r="FZ913" s="109"/>
      <c r="GA913" s="111"/>
      <c r="GB913" s="109"/>
      <c r="GC913" s="109"/>
      <c r="GD913" s="110"/>
      <c r="GE913" s="109"/>
      <c r="GF913" s="111"/>
      <c r="GG913" s="109"/>
      <c r="GH913" s="109"/>
      <c r="GI913" s="110"/>
      <c r="GJ913" s="109"/>
      <c r="GK913" s="111"/>
      <c r="GL913" s="109"/>
      <c r="GM913" s="109"/>
      <c r="GN913" s="110"/>
      <c r="GO913" s="109"/>
      <c r="GP913" s="111"/>
      <c r="GQ913" s="109"/>
      <c r="GR913" s="109"/>
      <c r="GS913" s="110"/>
      <c r="GT913" s="109"/>
      <c r="GU913" s="111"/>
      <c r="GV913" s="109"/>
      <c r="GW913" s="109"/>
      <c r="GX913" s="110"/>
      <c r="GY913" s="109"/>
      <c r="GZ913" s="111"/>
      <c r="HA913" s="109"/>
      <c r="HB913" s="109"/>
      <c r="HC913" s="110"/>
      <c r="HD913" s="109"/>
      <c r="HE913" s="111"/>
      <c r="HF913" s="109"/>
      <c r="HG913" s="109"/>
      <c r="HH913" s="110"/>
      <c r="HI913" s="109"/>
      <c r="HJ913" s="111"/>
      <c r="HK913" s="109"/>
      <c r="HL913" s="109"/>
      <c r="HM913" s="110"/>
      <c r="HN913" s="109"/>
      <c r="HO913" s="111"/>
      <c r="HP913" s="109"/>
      <c r="HQ913" s="109"/>
      <c r="HR913" s="110"/>
      <c r="HS913" s="109"/>
      <c r="HT913" s="111"/>
      <c r="HU913" s="109"/>
      <c r="HV913" s="109"/>
      <c r="HW913" s="110"/>
      <c r="HX913" s="109"/>
      <c r="HY913" s="111"/>
      <c r="HZ913" s="109"/>
      <c r="IA913" s="109"/>
      <c r="IB913" s="110"/>
      <c r="IC913" s="109"/>
      <c r="ID913" s="111"/>
      <c r="IE913" s="109"/>
      <c r="IF913" s="109"/>
      <c r="IG913" s="110"/>
      <c r="IH913" s="109"/>
      <c r="II913" s="111"/>
      <c r="IJ913" s="109"/>
      <c r="IK913" s="109"/>
      <c r="IL913" s="110"/>
      <c r="IM913" s="109"/>
      <c r="IN913" s="111"/>
      <c r="IO913" s="109"/>
      <c r="IP913" s="109"/>
      <c r="IQ913" s="110"/>
      <c r="IR913" s="109"/>
      <c r="IS913" s="111"/>
      <c r="IT913" s="109"/>
      <c r="IU913" s="109"/>
      <c r="IV913" s="110"/>
    </row>
    <row r="914" spans="1:256" s="123" customFormat="1" ht="14.25">
      <c r="A914" s="134">
        <v>37180</v>
      </c>
      <c r="B914" s="111">
        <v>45.2267</v>
      </c>
      <c r="C914" s="111">
        <f t="shared" si="15"/>
        <v>0.0452267</v>
      </c>
      <c r="D914" s="111">
        <v>27.8443</v>
      </c>
      <c r="E914" s="111">
        <v>30.6082</v>
      </c>
      <c r="F914" s="131"/>
      <c r="G914" s="109"/>
      <c r="H914" s="111"/>
      <c r="I914" s="109"/>
      <c r="J914" s="109"/>
      <c r="K914" s="110"/>
      <c r="L914" s="109"/>
      <c r="M914" s="111"/>
      <c r="N914" s="109"/>
      <c r="O914" s="109"/>
      <c r="P914" s="110"/>
      <c r="Q914" s="109"/>
      <c r="R914" s="111"/>
      <c r="S914" s="109"/>
      <c r="T914" s="109"/>
      <c r="U914" s="110"/>
      <c r="V914" s="109"/>
      <c r="W914" s="111"/>
      <c r="X914" s="109"/>
      <c r="Y914" s="109"/>
      <c r="Z914" s="110"/>
      <c r="AA914" s="109"/>
      <c r="AB914" s="111"/>
      <c r="AC914" s="109"/>
      <c r="AD914" s="109"/>
      <c r="AE914" s="110"/>
      <c r="AF914" s="109"/>
      <c r="AG914" s="111"/>
      <c r="AH914" s="109"/>
      <c r="AI914" s="109"/>
      <c r="AJ914" s="110"/>
      <c r="AK914" s="109"/>
      <c r="AL914" s="111"/>
      <c r="AM914" s="109"/>
      <c r="AN914" s="109"/>
      <c r="AO914" s="110"/>
      <c r="AP914" s="109"/>
      <c r="AQ914" s="111"/>
      <c r="AR914" s="109"/>
      <c r="AS914" s="109"/>
      <c r="AT914" s="110"/>
      <c r="AU914" s="109"/>
      <c r="AV914" s="111"/>
      <c r="AW914" s="109"/>
      <c r="AX914" s="109"/>
      <c r="AY914" s="110"/>
      <c r="AZ914" s="109"/>
      <c r="BA914" s="111"/>
      <c r="BB914" s="109"/>
      <c r="BC914" s="109"/>
      <c r="BD914" s="110"/>
      <c r="BE914" s="109"/>
      <c r="BF914" s="111"/>
      <c r="BG914" s="109"/>
      <c r="BH914" s="109"/>
      <c r="BI914" s="110"/>
      <c r="BJ914" s="109"/>
      <c r="BK914" s="111"/>
      <c r="BL914" s="109"/>
      <c r="BM914" s="109"/>
      <c r="BN914" s="110"/>
      <c r="BO914" s="109"/>
      <c r="BP914" s="111"/>
      <c r="BQ914" s="109"/>
      <c r="BR914" s="109"/>
      <c r="BS914" s="110"/>
      <c r="BT914" s="109"/>
      <c r="BU914" s="111"/>
      <c r="BV914" s="109"/>
      <c r="BW914" s="109"/>
      <c r="BX914" s="110"/>
      <c r="BY914" s="109"/>
      <c r="BZ914" s="111"/>
      <c r="CA914" s="109"/>
      <c r="CB914" s="109"/>
      <c r="CC914" s="110"/>
      <c r="CD914" s="109"/>
      <c r="CE914" s="111"/>
      <c r="CF914" s="109"/>
      <c r="CG914" s="109"/>
      <c r="CH914" s="110"/>
      <c r="CI914" s="109"/>
      <c r="CJ914" s="111"/>
      <c r="CK914" s="109"/>
      <c r="CL914" s="109"/>
      <c r="CM914" s="110"/>
      <c r="CN914" s="109"/>
      <c r="CO914" s="111"/>
      <c r="CP914" s="109"/>
      <c r="CQ914" s="109"/>
      <c r="CR914" s="110"/>
      <c r="CS914" s="109"/>
      <c r="CT914" s="111"/>
      <c r="CU914" s="109"/>
      <c r="CV914" s="109"/>
      <c r="CW914" s="110"/>
      <c r="CX914" s="109"/>
      <c r="CY914" s="111"/>
      <c r="CZ914" s="109"/>
      <c r="DA914" s="109"/>
      <c r="DB914" s="110"/>
      <c r="DC914" s="109"/>
      <c r="DD914" s="111"/>
      <c r="DE914" s="109"/>
      <c r="DF914" s="109"/>
      <c r="DG914" s="110"/>
      <c r="DH914" s="109"/>
      <c r="DI914" s="111"/>
      <c r="DJ914" s="109"/>
      <c r="DK914" s="109"/>
      <c r="DL914" s="110"/>
      <c r="DM914" s="109"/>
      <c r="DN914" s="111"/>
      <c r="DO914" s="109"/>
      <c r="DP914" s="109"/>
      <c r="DQ914" s="110"/>
      <c r="DR914" s="109"/>
      <c r="DS914" s="111"/>
      <c r="DT914" s="109"/>
      <c r="DU914" s="109"/>
      <c r="DV914" s="110"/>
      <c r="DW914" s="109"/>
      <c r="DX914" s="111"/>
      <c r="DY914" s="109"/>
      <c r="DZ914" s="109"/>
      <c r="EA914" s="110"/>
      <c r="EB914" s="109"/>
      <c r="EC914" s="111"/>
      <c r="ED914" s="109"/>
      <c r="EE914" s="109"/>
      <c r="EF914" s="110"/>
      <c r="EG914" s="109"/>
      <c r="EH914" s="111"/>
      <c r="EI914" s="109"/>
      <c r="EJ914" s="109"/>
      <c r="EK914" s="110"/>
      <c r="EL914" s="109"/>
      <c r="EM914" s="111"/>
      <c r="EN914" s="109"/>
      <c r="EO914" s="109"/>
      <c r="EP914" s="110"/>
      <c r="EQ914" s="109"/>
      <c r="ER914" s="111"/>
      <c r="ES914" s="109"/>
      <c r="ET914" s="109"/>
      <c r="EU914" s="110"/>
      <c r="EV914" s="109"/>
      <c r="EW914" s="111"/>
      <c r="EX914" s="109"/>
      <c r="EY914" s="109"/>
      <c r="EZ914" s="110"/>
      <c r="FA914" s="109"/>
      <c r="FB914" s="111"/>
      <c r="FC914" s="109"/>
      <c r="FD914" s="109"/>
      <c r="FE914" s="110"/>
      <c r="FF914" s="109"/>
      <c r="FG914" s="111"/>
      <c r="FH914" s="109"/>
      <c r="FI914" s="109"/>
      <c r="FJ914" s="110"/>
      <c r="FK914" s="109"/>
      <c r="FL914" s="111"/>
      <c r="FM914" s="109"/>
      <c r="FN914" s="109"/>
      <c r="FO914" s="110"/>
      <c r="FP914" s="109"/>
      <c r="FQ914" s="111"/>
      <c r="FR914" s="109"/>
      <c r="FS914" s="109"/>
      <c r="FT914" s="110"/>
      <c r="FU914" s="109"/>
      <c r="FV914" s="111"/>
      <c r="FW914" s="109"/>
      <c r="FX914" s="109"/>
      <c r="FY914" s="110"/>
      <c r="FZ914" s="109"/>
      <c r="GA914" s="111"/>
      <c r="GB914" s="109"/>
      <c r="GC914" s="109"/>
      <c r="GD914" s="110"/>
      <c r="GE914" s="109"/>
      <c r="GF914" s="111"/>
      <c r="GG914" s="109"/>
      <c r="GH914" s="109"/>
      <c r="GI914" s="110"/>
      <c r="GJ914" s="109"/>
      <c r="GK914" s="111"/>
      <c r="GL914" s="109"/>
      <c r="GM914" s="109"/>
      <c r="GN914" s="110"/>
      <c r="GO914" s="109"/>
      <c r="GP914" s="111"/>
      <c r="GQ914" s="109"/>
      <c r="GR914" s="109"/>
      <c r="GS914" s="110"/>
      <c r="GT914" s="109"/>
      <c r="GU914" s="111"/>
      <c r="GV914" s="109"/>
      <c r="GW914" s="109"/>
      <c r="GX914" s="110"/>
      <c r="GY914" s="109"/>
      <c r="GZ914" s="111"/>
      <c r="HA914" s="109"/>
      <c r="HB914" s="109"/>
      <c r="HC914" s="110"/>
      <c r="HD914" s="109"/>
      <c r="HE914" s="111"/>
      <c r="HF914" s="109"/>
      <c r="HG914" s="109"/>
      <c r="HH914" s="110"/>
      <c r="HI914" s="109"/>
      <c r="HJ914" s="111"/>
      <c r="HK914" s="109"/>
      <c r="HL914" s="109"/>
      <c r="HM914" s="110"/>
      <c r="HN914" s="109"/>
      <c r="HO914" s="111"/>
      <c r="HP914" s="109"/>
      <c r="HQ914" s="109"/>
      <c r="HR914" s="110"/>
      <c r="HS914" s="109"/>
      <c r="HT914" s="111"/>
      <c r="HU914" s="109"/>
      <c r="HV914" s="109"/>
      <c r="HW914" s="110"/>
      <c r="HX914" s="109"/>
      <c r="HY914" s="111"/>
      <c r="HZ914" s="109"/>
      <c r="IA914" s="109"/>
      <c r="IB914" s="110"/>
      <c r="IC914" s="109"/>
      <c r="ID914" s="111"/>
      <c r="IE914" s="109"/>
      <c r="IF914" s="109"/>
      <c r="IG914" s="110"/>
      <c r="IH914" s="109"/>
      <c r="II914" s="111"/>
      <c r="IJ914" s="109"/>
      <c r="IK914" s="109"/>
      <c r="IL914" s="110"/>
      <c r="IM914" s="109"/>
      <c r="IN914" s="111"/>
      <c r="IO914" s="109"/>
      <c r="IP914" s="109"/>
      <c r="IQ914" s="110"/>
      <c r="IR914" s="109"/>
      <c r="IS914" s="111"/>
      <c r="IT914" s="109"/>
      <c r="IU914" s="109"/>
      <c r="IV914" s="110"/>
    </row>
    <row r="915" spans="1:256" s="123" customFormat="1" ht="14.25">
      <c r="A915" s="134">
        <v>37181</v>
      </c>
      <c r="B915" s="111">
        <v>44.731</v>
      </c>
      <c r="C915" s="111">
        <f t="shared" si="15"/>
        <v>0.044731</v>
      </c>
      <c r="D915" s="111">
        <v>27.3418</v>
      </c>
      <c r="E915" s="111">
        <v>30.2053</v>
      </c>
      <c r="F915" s="131"/>
      <c r="G915" s="109"/>
      <c r="H915" s="111"/>
      <c r="I915" s="109"/>
      <c r="J915" s="109"/>
      <c r="K915" s="110"/>
      <c r="L915" s="109"/>
      <c r="M915" s="111"/>
      <c r="N915" s="109"/>
      <c r="O915" s="109"/>
      <c r="P915" s="110"/>
      <c r="Q915" s="109"/>
      <c r="R915" s="111"/>
      <c r="S915" s="109"/>
      <c r="T915" s="109"/>
      <c r="U915" s="110"/>
      <c r="V915" s="109"/>
      <c r="W915" s="111"/>
      <c r="X915" s="109"/>
      <c r="Y915" s="109"/>
      <c r="Z915" s="110"/>
      <c r="AA915" s="109"/>
      <c r="AB915" s="111"/>
      <c r="AC915" s="109"/>
      <c r="AD915" s="109"/>
      <c r="AE915" s="110"/>
      <c r="AF915" s="109"/>
      <c r="AG915" s="111"/>
      <c r="AH915" s="109"/>
      <c r="AI915" s="109"/>
      <c r="AJ915" s="110"/>
      <c r="AK915" s="109"/>
      <c r="AL915" s="111"/>
      <c r="AM915" s="109"/>
      <c r="AN915" s="109"/>
      <c r="AO915" s="110"/>
      <c r="AP915" s="109"/>
      <c r="AQ915" s="111"/>
      <c r="AR915" s="109"/>
      <c r="AS915" s="109"/>
      <c r="AT915" s="110"/>
      <c r="AU915" s="109"/>
      <c r="AV915" s="111"/>
      <c r="AW915" s="109"/>
      <c r="AX915" s="109"/>
      <c r="AY915" s="110"/>
      <c r="AZ915" s="109"/>
      <c r="BA915" s="111"/>
      <c r="BB915" s="109"/>
      <c r="BC915" s="109"/>
      <c r="BD915" s="110"/>
      <c r="BE915" s="109"/>
      <c r="BF915" s="111"/>
      <c r="BG915" s="109"/>
      <c r="BH915" s="109"/>
      <c r="BI915" s="110"/>
      <c r="BJ915" s="109"/>
      <c r="BK915" s="111"/>
      <c r="BL915" s="109"/>
      <c r="BM915" s="109"/>
      <c r="BN915" s="110"/>
      <c r="BO915" s="109"/>
      <c r="BP915" s="111"/>
      <c r="BQ915" s="109"/>
      <c r="BR915" s="109"/>
      <c r="BS915" s="110"/>
      <c r="BT915" s="109"/>
      <c r="BU915" s="111"/>
      <c r="BV915" s="109"/>
      <c r="BW915" s="109"/>
      <c r="BX915" s="110"/>
      <c r="BY915" s="109"/>
      <c r="BZ915" s="111"/>
      <c r="CA915" s="109"/>
      <c r="CB915" s="109"/>
      <c r="CC915" s="110"/>
      <c r="CD915" s="109"/>
      <c r="CE915" s="111"/>
      <c r="CF915" s="109"/>
      <c r="CG915" s="109"/>
      <c r="CH915" s="110"/>
      <c r="CI915" s="109"/>
      <c r="CJ915" s="111"/>
      <c r="CK915" s="109"/>
      <c r="CL915" s="109"/>
      <c r="CM915" s="110"/>
      <c r="CN915" s="109"/>
      <c r="CO915" s="111"/>
      <c r="CP915" s="109"/>
      <c r="CQ915" s="109"/>
      <c r="CR915" s="110"/>
      <c r="CS915" s="109"/>
      <c r="CT915" s="111"/>
      <c r="CU915" s="109"/>
      <c r="CV915" s="109"/>
      <c r="CW915" s="110"/>
      <c r="CX915" s="109"/>
      <c r="CY915" s="111"/>
      <c r="CZ915" s="109"/>
      <c r="DA915" s="109"/>
      <c r="DB915" s="110"/>
      <c r="DC915" s="109"/>
      <c r="DD915" s="111"/>
      <c r="DE915" s="109"/>
      <c r="DF915" s="109"/>
      <c r="DG915" s="110"/>
      <c r="DH915" s="109"/>
      <c r="DI915" s="111"/>
      <c r="DJ915" s="109"/>
      <c r="DK915" s="109"/>
      <c r="DL915" s="110"/>
      <c r="DM915" s="109"/>
      <c r="DN915" s="111"/>
      <c r="DO915" s="109"/>
      <c r="DP915" s="109"/>
      <c r="DQ915" s="110"/>
      <c r="DR915" s="109"/>
      <c r="DS915" s="111"/>
      <c r="DT915" s="109"/>
      <c r="DU915" s="109"/>
      <c r="DV915" s="110"/>
      <c r="DW915" s="109"/>
      <c r="DX915" s="111"/>
      <c r="DY915" s="109"/>
      <c r="DZ915" s="109"/>
      <c r="EA915" s="110"/>
      <c r="EB915" s="109"/>
      <c r="EC915" s="111"/>
      <c r="ED915" s="109"/>
      <c r="EE915" s="109"/>
      <c r="EF915" s="110"/>
      <c r="EG915" s="109"/>
      <c r="EH915" s="111"/>
      <c r="EI915" s="109"/>
      <c r="EJ915" s="109"/>
      <c r="EK915" s="110"/>
      <c r="EL915" s="109"/>
      <c r="EM915" s="111"/>
      <c r="EN915" s="109"/>
      <c r="EO915" s="109"/>
      <c r="EP915" s="110"/>
      <c r="EQ915" s="109"/>
      <c r="ER915" s="111"/>
      <c r="ES915" s="109"/>
      <c r="ET915" s="109"/>
      <c r="EU915" s="110"/>
      <c r="EV915" s="109"/>
      <c r="EW915" s="111"/>
      <c r="EX915" s="109"/>
      <c r="EY915" s="109"/>
      <c r="EZ915" s="110"/>
      <c r="FA915" s="109"/>
      <c r="FB915" s="111"/>
      <c r="FC915" s="109"/>
      <c r="FD915" s="109"/>
      <c r="FE915" s="110"/>
      <c r="FF915" s="109"/>
      <c r="FG915" s="111"/>
      <c r="FH915" s="109"/>
      <c r="FI915" s="109"/>
      <c r="FJ915" s="110"/>
      <c r="FK915" s="109"/>
      <c r="FL915" s="111"/>
      <c r="FM915" s="109"/>
      <c r="FN915" s="109"/>
      <c r="FO915" s="110"/>
      <c r="FP915" s="109"/>
      <c r="FQ915" s="111"/>
      <c r="FR915" s="109"/>
      <c r="FS915" s="109"/>
      <c r="FT915" s="110"/>
      <c r="FU915" s="109"/>
      <c r="FV915" s="111"/>
      <c r="FW915" s="109"/>
      <c r="FX915" s="109"/>
      <c r="FY915" s="110"/>
      <c r="FZ915" s="109"/>
      <c r="GA915" s="111"/>
      <c r="GB915" s="109"/>
      <c r="GC915" s="109"/>
      <c r="GD915" s="110"/>
      <c r="GE915" s="109"/>
      <c r="GF915" s="111"/>
      <c r="GG915" s="109"/>
      <c r="GH915" s="109"/>
      <c r="GI915" s="110"/>
      <c r="GJ915" s="109"/>
      <c r="GK915" s="111"/>
      <c r="GL915" s="109"/>
      <c r="GM915" s="109"/>
      <c r="GN915" s="110"/>
      <c r="GO915" s="109"/>
      <c r="GP915" s="111"/>
      <c r="GQ915" s="109"/>
      <c r="GR915" s="109"/>
      <c r="GS915" s="110"/>
      <c r="GT915" s="109"/>
      <c r="GU915" s="111"/>
      <c r="GV915" s="109"/>
      <c r="GW915" s="109"/>
      <c r="GX915" s="110"/>
      <c r="GY915" s="109"/>
      <c r="GZ915" s="111"/>
      <c r="HA915" s="109"/>
      <c r="HB915" s="109"/>
      <c r="HC915" s="110"/>
      <c r="HD915" s="109"/>
      <c r="HE915" s="111"/>
      <c r="HF915" s="109"/>
      <c r="HG915" s="109"/>
      <c r="HH915" s="110"/>
      <c r="HI915" s="109"/>
      <c r="HJ915" s="111"/>
      <c r="HK915" s="109"/>
      <c r="HL915" s="109"/>
      <c r="HM915" s="110"/>
      <c r="HN915" s="109"/>
      <c r="HO915" s="111"/>
      <c r="HP915" s="109"/>
      <c r="HQ915" s="109"/>
      <c r="HR915" s="110"/>
      <c r="HS915" s="109"/>
      <c r="HT915" s="111"/>
      <c r="HU915" s="109"/>
      <c r="HV915" s="109"/>
      <c r="HW915" s="110"/>
      <c r="HX915" s="109"/>
      <c r="HY915" s="111"/>
      <c r="HZ915" s="109"/>
      <c r="IA915" s="109"/>
      <c r="IB915" s="110"/>
      <c r="IC915" s="109"/>
      <c r="ID915" s="111"/>
      <c r="IE915" s="109"/>
      <c r="IF915" s="109"/>
      <c r="IG915" s="110"/>
      <c r="IH915" s="109"/>
      <c r="II915" s="111"/>
      <c r="IJ915" s="109"/>
      <c r="IK915" s="109"/>
      <c r="IL915" s="110"/>
      <c r="IM915" s="109"/>
      <c r="IN915" s="111"/>
      <c r="IO915" s="109"/>
      <c r="IP915" s="109"/>
      <c r="IQ915" s="110"/>
      <c r="IR915" s="109"/>
      <c r="IS915" s="111"/>
      <c r="IT915" s="109"/>
      <c r="IU915" s="109"/>
      <c r="IV915" s="110"/>
    </row>
    <row r="916" spans="1:256" s="123" customFormat="1" ht="14.25">
      <c r="A916" s="134">
        <v>37182</v>
      </c>
      <c r="B916" s="111">
        <v>48.6947</v>
      </c>
      <c r="C916" s="111">
        <f t="shared" si="15"/>
        <v>0.0486947</v>
      </c>
      <c r="D916" s="111">
        <v>29.604</v>
      </c>
      <c r="E916" s="111">
        <v>32.8132</v>
      </c>
      <c r="F916" s="131"/>
      <c r="G916" s="109"/>
      <c r="H916" s="111"/>
      <c r="I916" s="109"/>
      <c r="J916" s="109"/>
      <c r="K916" s="110"/>
      <c r="L916" s="109"/>
      <c r="M916" s="111"/>
      <c r="N916" s="109"/>
      <c r="O916" s="109"/>
      <c r="P916" s="110"/>
      <c r="Q916" s="109"/>
      <c r="R916" s="111"/>
      <c r="S916" s="109"/>
      <c r="T916" s="109"/>
      <c r="U916" s="110"/>
      <c r="V916" s="109"/>
      <c r="W916" s="111"/>
      <c r="X916" s="109"/>
      <c r="Y916" s="109"/>
      <c r="Z916" s="110"/>
      <c r="AA916" s="109"/>
      <c r="AB916" s="111"/>
      <c r="AC916" s="109"/>
      <c r="AD916" s="109"/>
      <c r="AE916" s="110"/>
      <c r="AF916" s="109"/>
      <c r="AG916" s="111"/>
      <c r="AH916" s="109"/>
      <c r="AI916" s="109"/>
      <c r="AJ916" s="110"/>
      <c r="AK916" s="109"/>
      <c r="AL916" s="111"/>
      <c r="AM916" s="109"/>
      <c r="AN916" s="109"/>
      <c r="AO916" s="110"/>
      <c r="AP916" s="109"/>
      <c r="AQ916" s="111"/>
      <c r="AR916" s="109"/>
      <c r="AS916" s="109"/>
      <c r="AT916" s="110"/>
      <c r="AU916" s="109"/>
      <c r="AV916" s="111"/>
      <c r="AW916" s="109"/>
      <c r="AX916" s="109"/>
      <c r="AY916" s="110"/>
      <c r="AZ916" s="109"/>
      <c r="BA916" s="111"/>
      <c r="BB916" s="109"/>
      <c r="BC916" s="109"/>
      <c r="BD916" s="110"/>
      <c r="BE916" s="109"/>
      <c r="BF916" s="111"/>
      <c r="BG916" s="109"/>
      <c r="BH916" s="109"/>
      <c r="BI916" s="110"/>
      <c r="BJ916" s="109"/>
      <c r="BK916" s="111"/>
      <c r="BL916" s="109"/>
      <c r="BM916" s="109"/>
      <c r="BN916" s="110"/>
      <c r="BO916" s="109"/>
      <c r="BP916" s="111"/>
      <c r="BQ916" s="109"/>
      <c r="BR916" s="109"/>
      <c r="BS916" s="110"/>
      <c r="BT916" s="109"/>
      <c r="BU916" s="111"/>
      <c r="BV916" s="109"/>
      <c r="BW916" s="109"/>
      <c r="BX916" s="110"/>
      <c r="BY916" s="109"/>
      <c r="BZ916" s="111"/>
      <c r="CA916" s="109"/>
      <c r="CB916" s="109"/>
      <c r="CC916" s="110"/>
      <c r="CD916" s="109"/>
      <c r="CE916" s="111"/>
      <c r="CF916" s="109"/>
      <c r="CG916" s="109"/>
      <c r="CH916" s="110"/>
      <c r="CI916" s="109"/>
      <c r="CJ916" s="111"/>
      <c r="CK916" s="109"/>
      <c r="CL916" s="109"/>
      <c r="CM916" s="110"/>
      <c r="CN916" s="109"/>
      <c r="CO916" s="111"/>
      <c r="CP916" s="109"/>
      <c r="CQ916" s="109"/>
      <c r="CR916" s="110"/>
      <c r="CS916" s="109"/>
      <c r="CT916" s="111"/>
      <c r="CU916" s="109"/>
      <c r="CV916" s="109"/>
      <c r="CW916" s="110"/>
      <c r="CX916" s="109"/>
      <c r="CY916" s="111"/>
      <c r="CZ916" s="109"/>
      <c r="DA916" s="109"/>
      <c r="DB916" s="110"/>
      <c r="DC916" s="109"/>
      <c r="DD916" s="111"/>
      <c r="DE916" s="109"/>
      <c r="DF916" s="109"/>
      <c r="DG916" s="110"/>
      <c r="DH916" s="109"/>
      <c r="DI916" s="111"/>
      <c r="DJ916" s="109"/>
      <c r="DK916" s="109"/>
      <c r="DL916" s="110"/>
      <c r="DM916" s="109"/>
      <c r="DN916" s="111"/>
      <c r="DO916" s="109"/>
      <c r="DP916" s="109"/>
      <c r="DQ916" s="110"/>
      <c r="DR916" s="109"/>
      <c r="DS916" s="111"/>
      <c r="DT916" s="109"/>
      <c r="DU916" s="109"/>
      <c r="DV916" s="110"/>
      <c r="DW916" s="109"/>
      <c r="DX916" s="111"/>
      <c r="DY916" s="109"/>
      <c r="DZ916" s="109"/>
      <c r="EA916" s="110"/>
      <c r="EB916" s="109"/>
      <c r="EC916" s="111"/>
      <c r="ED916" s="109"/>
      <c r="EE916" s="109"/>
      <c r="EF916" s="110"/>
      <c r="EG916" s="109"/>
      <c r="EH916" s="111"/>
      <c r="EI916" s="109"/>
      <c r="EJ916" s="109"/>
      <c r="EK916" s="110"/>
      <c r="EL916" s="109"/>
      <c r="EM916" s="111"/>
      <c r="EN916" s="109"/>
      <c r="EO916" s="109"/>
      <c r="EP916" s="110"/>
      <c r="EQ916" s="109"/>
      <c r="ER916" s="111"/>
      <c r="ES916" s="109"/>
      <c r="ET916" s="109"/>
      <c r="EU916" s="110"/>
      <c r="EV916" s="109"/>
      <c r="EW916" s="111"/>
      <c r="EX916" s="109"/>
      <c r="EY916" s="109"/>
      <c r="EZ916" s="110"/>
      <c r="FA916" s="109"/>
      <c r="FB916" s="111"/>
      <c r="FC916" s="109"/>
      <c r="FD916" s="109"/>
      <c r="FE916" s="110"/>
      <c r="FF916" s="109"/>
      <c r="FG916" s="111"/>
      <c r="FH916" s="109"/>
      <c r="FI916" s="109"/>
      <c r="FJ916" s="110"/>
      <c r="FK916" s="109"/>
      <c r="FL916" s="111"/>
      <c r="FM916" s="109"/>
      <c r="FN916" s="109"/>
      <c r="FO916" s="110"/>
      <c r="FP916" s="109"/>
      <c r="FQ916" s="111"/>
      <c r="FR916" s="109"/>
      <c r="FS916" s="109"/>
      <c r="FT916" s="110"/>
      <c r="FU916" s="109"/>
      <c r="FV916" s="111"/>
      <c r="FW916" s="109"/>
      <c r="FX916" s="109"/>
      <c r="FY916" s="110"/>
      <c r="FZ916" s="109"/>
      <c r="GA916" s="111"/>
      <c r="GB916" s="109"/>
      <c r="GC916" s="109"/>
      <c r="GD916" s="110"/>
      <c r="GE916" s="109"/>
      <c r="GF916" s="111"/>
      <c r="GG916" s="109"/>
      <c r="GH916" s="109"/>
      <c r="GI916" s="110"/>
      <c r="GJ916" s="109"/>
      <c r="GK916" s="111"/>
      <c r="GL916" s="109"/>
      <c r="GM916" s="109"/>
      <c r="GN916" s="110"/>
      <c r="GO916" s="109"/>
      <c r="GP916" s="111"/>
      <c r="GQ916" s="109"/>
      <c r="GR916" s="109"/>
      <c r="GS916" s="110"/>
      <c r="GT916" s="109"/>
      <c r="GU916" s="111"/>
      <c r="GV916" s="109"/>
      <c r="GW916" s="109"/>
      <c r="GX916" s="110"/>
      <c r="GY916" s="109"/>
      <c r="GZ916" s="111"/>
      <c r="HA916" s="109"/>
      <c r="HB916" s="109"/>
      <c r="HC916" s="110"/>
      <c r="HD916" s="109"/>
      <c r="HE916" s="111"/>
      <c r="HF916" s="109"/>
      <c r="HG916" s="109"/>
      <c r="HH916" s="110"/>
      <c r="HI916" s="109"/>
      <c r="HJ916" s="111"/>
      <c r="HK916" s="109"/>
      <c r="HL916" s="109"/>
      <c r="HM916" s="110"/>
      <c r="HN916" s="109"/>
      <c r="HO916" s="111"/>
      <c r="HP916" s="109"/>
      <c r="HQ916" s="109"/>
      <c r="HR916" s="110"/>
      <c r="HS916" s="109"/>
      <c r="HT916" s="111"/>
      <c r="HU916" s="109"/>
      <c r="HV916" s="109"/>
      <c r="HW916" s="110"/>
      <c r="HX916" s="109"/>
      <c r="HY916" s="111"/>
      <c r="HZ916" s="109"/>
      <c r="IA916" s="109"/>
      <c r="IB916" s="110"/>
      <c r="IC916" s="109"/>
      <c r="ID916" s="111"/>
      <c r="IE916" s="109"/>
      <c r="IF916" s="109"/>
      <c r="IG916" s="110"/>
      <c r="IH916" s="109"/>
      <c r="II916" s="111"/>
      <c r="IJ916" s="109"/>
      <c r="IK916" s="109"/>
      <c r="IL916" s="110"/>
      <c r="IM916" s="109"/>
      <c r="IN916" s="111"/>
      <c r="IO916" s="109"/>
      <c r="IP916" s="109"/>
      <c r="IQ916" s="110"/>
      <c r="IR916" s="109"/>
      <c r="IS916" s="111"/>
      <c r="IT916" s="109"/>
      <c r="IU916" s="109"/>
      <c r="IV916" s="110"/>
    </row>
    <row r="917" spans="1:256" s="123" customFormat="1" ht="14.25">
      <c r="A917" s="134">
        <v>37183</v>
      </c>
      <c r="B917" s="111">
        <v>47.8911</v>
      </c>
      <c r="C917" s="111">
        <f t="shared" si="15"/>
        <v>0.047891100000000006</v>
      </c>
      <c r="D917" s="111">
        <v>29.2466</v>
      </c>
      <c r="E917" s="111">
        <v>32.4026</v>
      </c>
      <c r="F917" s="131"/>
      <c r="G917" s="109"/>
      <c r="H917" s="111"/>
      <c r="I917" s="109"/>
      <c r="J917" s="109"/>
      <c r="K917" s="110"/>
      <c r="L917" s="109"/>
      <c r="M917" s="111"/>
      <c r="N917" s="109"/>
      <c r="O917" s="109"/>
      <c r="P917" s="110"/>
      <c r="Q917" s="109"/>
      <c r="R917" s="111"/>
      <c r="S917" s="109"/>
      <c r="T917" s="109"/>
      <c r="U917" s="110"/>
      <c r="V917" s="109"/>
      <c r="W917" s="111"/>
      <c r="X917" s="109"/>
      <c r="Y917" s="109"/>
      <c r="Z917" s="110"/>
      <c r="AA917" s="109"/>
      <c r="AB917" s="111"/>
      <c r="AC917" s="109"/>
      <c r="AD917" s="109"/>
      <c r="AE917" s="110"/>
      <c r="AF917" s="109"/>
      <c r="AG917" s="111"/>
      <c r="AH917" s="109"/>
      <c r="AI917" s="109"/>
      <c r="AJ917" s="110"/>
      <c r="AK917" s="109"/>
      <c r="AL917" s="111"/>
      <c r="AM917" s="109"/>
      <c r="AN917" s="109"/>
      <c r="AO917" s="110"/>
      <c r="AP917" s="109"/>
      <c r="AQ917" s="111"/>
      <c r="AR917" s="109"/>
      <c r="AS917" s="109"/>
      <c r="AT917" s="110"/>
      <c r="AU917" s="109"/>
      <c r="AV917" s="111"/>
      <c r="AW917" s="109"/>
      <c r="AX917" s="109"/>
      <c r="AY917" s="110"/>
      <c r="AZ917" s="109"/>
      <c r="BA917" s="111"/>
      <c r="BB917" s="109"/>
      <c r="BC917" s="109"/>
      <c r="BD917" s="110"/>
      <c r="BE917" s="109"/>
      <c r="BF917" s="111"/>
      <c r="BG917" s="109"/>
      <c r="BH917" s="109"/>
      <c r="BI917" s="110"/>
      <c r="BJ917" s="109"/>
      <c r="BK917" s="111"/>
      <c r="BL917" s="109"/>
      <c r="BM917" s="109"/>
      <c r="BN917" s="110"/>
      <c r="BO917" s="109"/>
      <c r="BP917" s="111"/>
      <c r="BQ917" s="109"/>
      <c r="BR917" s="109"/>
      <c r="BS917" s="110"/>
      <c r="BT917" s="109"/>
      <c r="BU917" s="111"/>
      <c r="BV917" s="109"/>
      <c r="BW917" s="109"/>
      <c r="BX917" s="110"/>
      <c r="BY917" s="109"/>
      <c r="BZ917" s="111"/>
      <c r="CA917" s="109"/>
      <c r="CB917" s="109"/>
      <c r="CC917" s="110"/>
      <c r="CD917" s="109"/>
      <c r="CE917" s="111"/>
      <c r="CF917" s="109"/>
      <c r="CG917" s="109"/>
      <c r="CH917" s="110"/>
      <c r="CI917" s="109"/>
      <c r="CJ917" s="111"/>
      <c r="CK917" s="109"/>
      <c r="CL917" s="109"/>
      <c r="CM917" s="110"/>
      <c r="CN917" s="109"/>
      <c r="CO917" s="111"/>
      <c r="CP917" s="109"/>
      <c r="CQ917" s="109"/>
      <c r="CR917" s="110"/>
      <c r="CS917" s="109"/>
      <c r="CT917" s="111"/>
      <c r="CU917" s="109"/>
      <c r="CV917" s="109"/>
      <c r="CW917" s="110"/>
      <c r="CX917" s="109"/>
      <c r="CY917" s="111"/>
      <c r="CZ917" s="109"/>
      <c r="DA917" s="109"/>
      <c r="DB917" s="110"/>
      <c r="DC917" s="109"/>
      <c r="DD917" s="111"/>
      <c r="DE917" s="109"/>
      <c r="DF917" s="109"/>
      <c r="DG917" s="110"/>
      <c r="DH917" s="109"/>
      <c r="DI917" s="111"/>
      <c r="DJ917" s="109"/>
      <c r="DK917" s="109"/>
      <c r="DL917" s="110"/>
      <c r="DM917" s="109"/>
      <c r="DN917" s="111"/>
      <c r="DO917" s="109"/>
      <c r="DP917" s="109"/>
      <c r="DQ917" s="110"/>
      <c r="DR917" s="109"/>
      <c r="DS917" s="111"/>
      <c r="DT917" s="109"/>
      <c r="DU917" s="109"/>
      <c r="DV917" s="110"/>
      <c r="DW917" s="109"/>
      <c r="DX917" s="111"/>
      <c r="DY917" s="109"/>
      <c r="DZ917" s="109"/>
      <c r="EA917" s="110"/>
      <c r="EB917" s="109"/>
      <c r="EC917" s="111"/>
      <c r="ED917" s="109"/>
      <c r="EE917" s="109"/>
      <c r="EF917" s="110"/>
      <c r="EG917" s="109"/>
      <c r="EH917" s="111"/>
      <c r="EI917" s="109"/>
      <c r="EJ917" s="109"/>
      <c r="EK917" s="110"/>
      <c r="EL917" s="109"/>
      <c r="EM917" s="111"/>
      <c r="EN917" s="109"/>
      <c r="EO917" s="109"/>
      <c r="EP917" s="110"/>
      <c r="EQ917" s="109"/>
      <c r="ER917" s="111"/>
      <c r="ES917" s="109"/>
      <c r="ET917" s="109"/>
      <c r="EU917" s="110"/>
      <c r="EV917" s="109"/>
      <c r="EW917" s="111"/>
      <c r="EX917" s="109"/>
      <c r="EY917" s="109"/>
      <c r="EZ917" s="110"/>
      <c r="FA917" s="109"/>
      <c r="FB917" s="111"/>
      <c r="FC917" s="109"/>
      <c r="FD917" s="109"/>
      <c r="FE917" s="110"/>
      <c r="FF917" s="109"/>
      <c r="FG917" s="111"/>
      <c r="FH917" s="109"/>
      <c r="FI917" s="109"/>
      <c r="FJ917" s="110"/>
      <c r="FK917" s="109"/>
      <c r="FL917" s="111"/>
      <c r="FM917" s="109"/>
      <c r="FN917" s="109"/>
      <c r="FO917" s="110"/>
      <c r="FP917" s="109"/>
      <c r="FQ917" s="111"/>
      <c r="FR917" s="109"/>
      <c r="FS917" s="109"/>
      <c r="FT917" s="110"/>
      <c r="FU917" s="109"/>
      <c r="FV917" s="111"/>
      <c r="FW917" s="109"/>
      <c r="FX917" s="109"/>
      <c r="FY917" s="110"/>
      <c r="FZ917" s="109"/>
      <c r="GA917" s="111"/>
      <c r="GB917" s="109"/>
      <c r="GC917" s="109"/>
      <c r="GD917" s="110"/>
      <c r="GE917" s="109"/>
      <c r="GF917" s="111"/>
      <c r="GG917" s="109"/>
      <c r="GH917" s="109"/>
      <c r="GI917" s="110"/>
      <c r="GJ917" s="109"/>
      <c r="GK917" s="111"/>
      <c r="GL917" s="109"/>
      <c r="GM917" s="109"/>
      <c r="GN917" s="110"/>
      <c r="GO917" s="109"/>
      <c r="GP917" s="111"/>
      <c r="GQ917" s="109"/>
      <c r="GR917" s="109"/>
      <c r="GS917" s="110"/>
      <c r="GT917" s="109"/>
      <c r="GU917" s="111"/>
      <c r="GV917" s="109"/>
      <c r="GW917" s="109"/>
      <c r="GX917" s="110"/>
      <c r="GY917" s="109"/>
      <c r="GZ917" s="111"/>
      <c r="HA917" s="109"/>
      <c r="HB917" s="109"/>
      <c r="HC917" s="110"/>
      <c r="HD917" s="109"/>
      <c r="HE917" s="111"/>
      <c r="HF917" s="109"/>
      <c r="HG917" s="109"/>
      <c r="HH917" s="110"/>
      <c r="HI917" s="109"/>
      <c r="HJ917" s="111"/>
      <c r="HK917" s="109"/>
      <c r="HL917" s="109"/>
      <c r="HM917" s="110"/>
      <c r="HN917" s="109"/>
      <c r="HO917" s="111"/>
      <c r="HP917" s="109"/>
      <c r="HQ917" s="109"/>
      <c r="HR917" s="110"/>
      <c r="HS917" s="109"/>
      <c r="HT917" s="111"/>
      <c r="HU917" s="109"/>
      <c r="HV917" s="109"/>
      <c r="HW917" s="110"/>
      <c r="HX917" s="109"/>
      <c r="HY917" s="111"/>
      <c r="HZ917" s="109"/>
      <c r="IA917" s="109"/>
      <c r="IB917" s="110"/>
      <c r="IC917" s="109"/>
      <c r="ID917" s="111"/>
      <c r="IE917" s="109"/>
      <c r="IF917" s="109"/>
      <c r="IG917" s="110"/>
      <c r="IH917" s="109"/>
      <c r="II917" s="111"/>
      <c r="IJ917" s="109"/>
      <c r="IK917" s="109"/>
      <c r="IL917" s="110"/>
      <c r="IM917" s="109"/>
      <c r="IN917" s="111"/>
      <c r="IO917" s="109"/>
      <c r="IP917" s="109"/>
      <c r="IQ917" s="110"/>
      <c r="IR917" s="109"/>
      <c r="IS917" s="111"/>
      <c r="IT917" s="109"/>
      <c r="IU917" s="109"/>
      <c r="IV917" s="110"/>
    </row>
    <row r="918" spans="1:256" s="123" customFormat="1" ht="14.25">
      <c r="A918" s="134">
        <v>37186</v>
      </c>
      <c r="B918" s="111">
        <v>50.4523</v>
      </c>
      <c r="C918" s="111">
        <f t="shared" si="15"/>
        <v>0.050452300000000005</v>
      </c>
      <c r="D918" s="111">
        <v>30.7589</v>
      </c>
      <c r="E918" s="111">
        <v>34.1424</v>
      </c>
      <c r="F918" s="131"/>
      <c r="G918" s="109"/>
      <c r="H918" s="111"/>
      <c r="I918" s="109"/>
      <c r="J918" s="109"/>
      <c r="K918" s="110"/>
      <c r="L918" s="109"/>
      <c r="M918" s="111"/>
      <c r="N918" s="109"/>
      <c r="O918" s="109"/>
      <c r="P918" s="110"/>
      <c r="Q918" s="109"/>
      <c r="R918" s="111"/>
      <c r="S918" s="109"/>
      <c r="T918" s="109"/>
      <c r="U918" s="110"/>
      <c r="V918" s="109"/>
      <c r="W918" s="111"/>
      <c r="X918" s="109"/>
      <c r="Y918" s="109"/>
      <c r="Z918" s="110"/>
      <c r="AA918" s="109"/>
      <c r="AB918" s="111"/>
      <c r="AC918" s="109"/>
      <c r="AD918" s="109"/>
      <c r="AE918" s="110"/>
      <c r="AF918" s="109"/>
      <c r="AG918" s="111"/>
      <c r="AH918" s="109"/>
      <c r="AI918" s="109"/>
      <c r="AJ918" s="110"/>
      <c r="AK918" s="109"/>
      <c r="AL918" s="111"/>
      <c r="AM918" s="109"/>
      <c r="AN918" s="109"/>
      <c r="AO918" s="110"/>
      <c r="AP918" s="109"/>
      <c r="AQ918" s="111"/>
      <c r="AR918" s="109"/>
      <c r="AS918" s="109"/>
      <c r="AT918" s="110"/>
      <c r="AU918" s="109"/>
      <c r="AV918" s="111"/>
      <c r="AW918" s="109"/>
      <c r="AX918" s="109"/>
      <c r="AY918" s="110"/>
      <c r="AZ918" s="109"/>
      <c r="BA918" s="111"/>
      <c r="BB918" s="109"/>
      <c r="BC918" s="109"/>
      <c r="BD918" s="110"/>
      <c r="BE918" s="109"/>
      <c r="BF918" s="111"/>
      <c r="BG918" s="109"/>
      <c r="BH918" s="109"/>
      <c r="BI918" s="110"/>
      <c r="BJ918" s="109"/>
      <c r="BK918" s="111"/>
      <c r="BL918" s="109"/>
      <c r="BM918" s="109"/>
      <c r="BN918" s="110"/>
      <c r="BO918" s="109"/>
      <c r="BP918" s="111"/>
      <c r="BQ918" s="109"/>
      <c r="BR918" s="109"/>
      <c r="BS918" s="110"/>
      <c r="BT918" s="109"/>
      <c r="BU918" s="111"/>
      <c r="BV918" s="109"/>
      <c r="BW918" s="109"/>
      <c r="BX918" s="110"/>
      <c r="BY918" s="109"/>
      <c r="BZ918" s="111"/>
      <c r="CA918" s="109"/>
      <c r="CB918" s="109"/>
      <c r="CC918" s="110"/>
      <c r="CD918" s="109"/>
      <c r="CE918" s="111"/>
      <c r="CF918" s="109"/>
      <c r="CG918" s="109"/>
      <c r="CH918" s="110"/>
      <c r="CI918" s="109"/>
      <c r="CJ918" s="111"/>
      <c r="CK918" s="109"/>
      <c r="CL918" s="109"/>
      <c r="CM918" s="110"/>
      <c r="CN918" s="109"/>
      <c r="CO918" s="111"/>
      <c r="CP918" s="109"/>
      <c r="CQ918" s="109"/>
      <c r="CR918" s="110"/>
      <c r="CS918" s="109"/>
      <c r="CT918" s="111"/>
      <c r="CU918" s="109"/>
      <c r="CV918" s="109"/>
      <c r="CW918" s="110"/>
      <c r="CX918" s="109"/>
      <c r="CY918" s="111"/>
      <c r="CZ918" s="109"/>
      <c r="DA918" s="109"/>
      <c r="DB918" s="110"/>
      <c r="DC918" s="109"/>
      <c r="DD918" s="111"/>
      <c r="DE918" s="109"/>
      <c r="DF918" s="109"/>
      <c r="DG918" s="110"/>
      <c r="DH918" s="109"/>
      <c r="DI918" s="111"/>
      <c r="DJ918" s="109"/>
      <c r="DK918" s="109"/>
      <c r="DL918" s="110"/>
      <c r="DM918" s="109"/>
      <c r="DN918" s="111"/>
      <c r="DO918" s="109"/>
      <c r="DP918" s="109"/>
      <c r="DQ918" s="110"/>
      <c r="DR918" s="109"/>
      <c r="DS918" s="111"/>
      <c r="DT918" s="109"/>
      <c r="DU918" s="109"/>
      <c r="DV918" s="110"/>
      <c r="DW918" s="109"/>
      <c r="DX918" s="111"/>
      <c r="DY918" s="109"/>
      <c r="DZ918" s="109"/>
      <c r="EA918" s="110"/>
      <c r="EB918" s="109"/>
      <c r="EC918" s="111"/>
      <c r="ED918" s="109"/>
      <c r="EE918" s="109"/>
      <c r="EF918" s="110"/>
      <c r="EG918" s="109"/>
      <c r="EH918" s="111"/>
      <c r="EI918" s="109"/>
      <c r="EJ918" s="109"/>
      <c r="EK918" s="110"/>
      <c r="EL918" s="109"/>
      <c r="EM918" s="111"/>
      <c r="EN918" s="109"/>
      <c r="EO918" s="109"/>
      <c r="EP918" s="110"/>
      <c r="EQ918" s="109"/>
      <c r="ER918" s="111"/>
      <c r="ES918" s="109"/>
      <c r="ET918" s="109"/>
      <c r="EU918" s="110"/>
      <c r="EV918" s="109"/>
      <c r="EW918" s="111"/>
      <c r="EX918" s="109"/>
      <c r="EY918" s="109"/>
      <c r="EZ918" s="110"/>
      <c r="FA918" s="109"/>
      <c r="FB918" s="111"/>
      <c r="FC918" s="109"/>
      <c r="FD918" s="109"/>
      <c r="FE918" s="110"/>
      <c r="FF918" s="109"/>
      <c r="FG918" s="111"/>
      <c r="FH918" s="109"/>
      <c r="FI918" s="109"/>
      <c r="FJ918" s="110"/>
      <c r="FK918" s="109"/>
      <c r="FL918" s="111"/>
      <c r="FM918" s="109"/>
      <c r="FN918" s="109"/>
      <c r="FO918" s="110"/>
      <c r="FP918" s="109"/>
      <c r="FQ918" s="111"/>
      <c r="FR918" s="109"/>
      <c r="FS918" s="109"/>
      <c r="FT918" s="110"/>
      <c r="FU918" s="109"/>
      <c r="FV918" s="111"/>
      <c r="FW918" s="109"/>
      <c r="FX918" s="109"/>
      <c r="FY918" s="110"/>
      <c r="FZ918" s="109"/>
      <c r="GA918" s="111"/>
      <c r="GB918" s="109"/>
      <c r="GC918" s="109"/>
      <c r="GD918" s="110"/>
      <c r="GE918" s="109"/>
      <c r="GF918" s="111"/>
      <c r="GG918" s="109"/>
      <c r="GH918" s="109"/>
      <c r="GI918" s="110"/>
      <c r="GJ918" s="109"/>
      <c r="GK918" s="111"/>
      <c r="GL918" s="109"/>
      <c r="GM918" s="109"/>
      <c r="GN918" s="110"/>
      <c r="GO918" s="109"/>
      <c r="GP918" s="111"/>
      <c r="GQ918" s="109"/>
      <c r="GR918" s="109"/>
      <c r="GS918" s="110"/>
      <c r="GT918" s="109"/>
      <c r="GU918" s="111"/>
      <c r="GV918" s="109"/>
      <c r="GW918" s="109"/>
      <c r="GX918" s="110"/>
      <c r="GY918" s="109"/>
      <c r="GZ918" s="111"/>
      <c r="HA918" s="109"/>
      <c r="HB918" s="109"/>
      <c r="HC918" s="110"/>
      <c r="HD918" s="109"/>
      <c r="HE918" s="111"/>
      <c r="HF918" s="109"/>
      <c r="HG918" s="109"/>
      <c r="HH918" s="110"/>
      <c r="HI918" s="109"/>
      <c r="HJ918" s="111"/>
      <c r="HK918" s="109"/>
      <c r="HL918" s="109"/>
      <c r="HM918" s="110"/>
      <c r="HN918" s="109"/>
      <c r="HO918" s="111"/>
      <c r="HP918" s="109"/>
      <c r="HQ918" s="109"/>
      <c r="HR918" s="110"/>
      <c r="HS918" s="109"/>
      <c r="HT918" s="111"/>
      <c r="HU918" s="109"/>
      <c r="HV918" s="109"/>
      <c r="HW918" s="110"/>
      <c r="HX918" s="109"/>
      <c r="HY918" s="111"/>
      <c r="HZ918" s="109"/>
      <c r="IA918" s="109"/>
      <c r="IB918" s="110"/>
      <c r="IC918" s="109"/>
      <c r="ID918" s="111"/>
      <c r="IE918" s="109"/>
      <c r="IF918" s="109"/>
      <c r="IG918" s="110"/>
      <c r="IH918" s="109"/>
      <c r="II918" s="111"/>
      <c r="IJ918" s="109"/>
      <c r="IK918" s="109"/>
      <c r="IL918" s="110"/>
      <c r="IM918" s="109"/>
      <c r="IN918" s="111"/>
      <c r="IO918" s="109"/>
      <c r="IP918" s="109"/>
      <c r="IQ918" s="110"/>
      <c r="IR918" s="109"/>
      <c r="IS918" s="111"/>
      <c r="IT918" s="109"/>
      <c r="IU918" s="109"/>
      <c r="IV918" s="110"/>
    </row>
    <row r="919" spans="1:256" s="123" customFormat="1" ht="14.25">
      <c r="A919" s="134">
        <v>37187</v>
      </c>
      <c r="B919" s="111">
        <v>51.1058</v>
      </c>
      <c r="C919" s="111">
        <f t="shared" si="15"/>
        <v>0.0511058</v>
      </c>
      <c r="D919" s="111">
        <v>31.0674</v>
      </c>
      <c r="E919" s="111">
        <v>34.6386</v>
      </c>
      <c r="F919" s="131"/>
      <c r="G919" s="109"/>
      <c r="H919" s="111"/>
      <c r="I919" s="109"/>
      <c r="J919" s="109"/>
      <c r="K919" s="110"/>
      <c r="L919" s="109"/>
      <c r="M919" s="111"/>
      <c r="N919" s="109"/>
      <c r="O919" s="109"/>
      <c r="P919" s="110"/>
      <c r="Q919" s="109"/>
      <c r="R919" s="111"/>
      <c r="S919" s="109"/>
      <c r="T919" s="109"/>
      <c r="U919" s="110"/>
      <c r="V919" s="109"/>
      <c r="W919" s="111"/>
      <c r="X919" s="109"/>
      <c r="Y919" s="109"/>
      <c r="Z919" s="110"/>
      <c r="AA919" s="109"/>
      <c r="AB919" s="111"/>
      <c r="AC919" s="109"/>
      <c r="AD919" s="109"/>
      <c r="AE919" s="110"/>
      <c r="AF919" s="109"/>
      <c r="AG919" s="111"/>
      <c r="AH919" s="109"/>
      <c r="AI919" s="109"/>
      <c r="AJ919" s="110"/>
      <c r="AK919" s="109"/>
      <c r="AL919" s="111"/>
      <c r="AM919" s="109"/>
      <c r="AN919" s="109"/>
      <c r="AO919" s="110"/>
      <c r="AP919" s="109"/>
      <c r="AQ919" s="111"/>
      <c r="AR919" s="109"/>
      <c r="AS919" s="109"/>
      <c r="AT919" s="110"/>
      <c r="AU919" s="109"/>
      <c r="AV919" s="111"/>
      <c r="AW919" s="109"/>
      <c r="AX919" s="109"/>
      <c r="AY919" s="110"/>
      <c r="AZ919" s="109"/>
      <c r="BA919" s="111"/>
      <c r="BB919" s="109"/>
      <c r="BC919" s="109"/>
      <c r="BD919" s="110"/>
      <c r="BE919" s="109"/>
      <c r="BF919" s="111"/>
      <c r="BG919" s="109"/>
      <c r="BH919" s="109"/>
      <c r="BI919" s="110"/>
      <c r="BJ919" s="109"/>
      <c r="BK919" s="111"/>
      <c r="BL919" s="109"/>
      <c r="BM919" s="109"/>
      <c r="BN919" s="110"/>
      <c r="BO919" s="109"/>
      <c r="BP919" s="111"/>
      <c r="BQ919" s="109"/>
      <c r="BR919" s="109"/>
      <c r="BS919" s="110"/>
      <c r="BT919" s="109"/>
      <c r="BU919" s="111"/>
      <c r="BV919" s="109"/>
      <c r="BW919" s="109"/>
      <c r="BX919" s="110"/>
      <c r="BY919" s="109"/>
      <c r="BZ919" s="111"/>
      <c r="CA919" s="109"/>
      <c r="CB919" s="109"/>
      <c r="CC919" s="110"/>
      <c r="CD919" s="109"/>
      <c r="CE919" s="111"/>
      <c r="CF919" s="109"/>
      <c r="CG919" s="109"/>
      <c r="CH919" s="110"/>
      <c r="CI919" s="109"/>
      <c r="CJ919" s="111"/>
      <c r="CK919" s="109"/>
      <c r="CL919" s="109"/>
      <c r="CM919" s="110"/>
      <c r="CN919" s="109"/>
      <c r="CO919" s="111"/>
      <c r="CP919" s="109"/>
      <c r="CQ919" s="109"/>
      <c r="CR919" s="110"/>
      <c r="CS919" s="109"/>
      <c r="CT919" s="111"/>
      <c r="CU919" s="109"/>
      <c r="CV919" s="109"/>
      <c r="CW919" s="110"/>
      <c r="CX919" s="109"/>
      <c r="CY919" s="111"/>
      <c r="CZ919" s="109"/>
      <c r="DA919" s="109"/>
      <c r="DB919" s="110"/>
      <c r="DC919" s="109"/>
      <c r="DD919" s="111"/>
      <c r="DE919" s="109"/>
      <c r="DF919" s="109"/>
      <c r="DG919" s="110"/>
      <c r="DH919" s="109"/>
      <c r="DI919" s="111"/>
      <c r="DJ919" s="109"/>
      <c r="DK919" s="109"/>
      <c r="DL919" s="110"/>
      <c r="DM919" s="109"/>
      <c r="DN919" s="111"/>
      <c r="DO919" s="109"/>
      <c r="DP919" s="109"/>
      <c r="DQ919" s="110"/>
      <c r="DR919" s="109"/>
      <c r="DS919" s="111"/>
      <c r="DT919" s="109"/>
      <c r="DU919" s="109"/>
      <c r="DV919" s="110"/>
      <c r="DW919" s="109"/>
      <c r="DX919" s="111"/>
      <c r="DY919" s="109"/>
      <c r="DZ919" s="109"/>
      <c r="EA919" s="110"/>
      <c r="EB919" s="109"/>
      <c r="EC919" s="111"/>
      <c r="ED919" s="109"/>
      <c r="EE919" s="109"/>
      <c r="EF919" s="110"/>
      <c r="EG919" s="109"/>
      <c r="EH919" s="111"/>
      <c r="EI919" s="109"/>
      <c r="EJ919" s="109"/>
      <c r="EK919" s="110"/>
      <c r="EL919" s="109"/>
      <c r="EM919" s="111"/>
      <c r="EN919" s="109"/>
      <c r="EO919" s="109"/>
      <c r="EP919" s="110"/>
      <c r="EQ919" s="109"/>
      <c r="ER919" s="111"/>
      <c r="ES919" s="109"/>
      <c r="ET919" s="109"/>
      <c r="EU919" s="110"/>
      <c r="EV919" s="109"/>
      <c r="EW919" s="111"/>
      <c r="EX919" s="109"/>
      <c r="EY919" s="109"/>
      <c r="EZ919" s="110"/>
      <c r="FA919" s="109"/>
      <c r="FB919" s="111"/>
      <c r="FC919" s="109"/>
      <c r="FD919" s="109"/>
      <c r="FE919" s="110"/>
      <c r="FF919" s="109"/>
      <c r="FG919" s="111"/>
      <c r="FH919" s="109"/>
      <c r="FI919" s="109"/>
      <c r="FJ919" s="110"/>
      <c r="FK919" s="109"/>
      <c r="FL919" s="111"/>
      <c r="FM919" s="109"/>
      <c r="FN919" s="109"/>
      <c r="FO919" s="110"/>
      <c r="FP919" s="109"/>
      <c r="FQ919" s="111"/>
      <c r="FR919" s="109"/>
      <c r="FS919" s="109"/>
      <c r="FT919" s="110"/>
      <c r="FU919" s="109"/>
      <c r="FV919" s="111"/>
      <c r="FW919" s="109"/>
      <c r="FX919" s="109"/>
      <c r="FY919" s="110"/>
      <c r="FZ919" s="109"/>
      <c r="GA919" s="111"/>
      <c r="GB919" s="109"/>
      <c r="GC919" s="109"/>
      <c r="GD919" s="110"/>
      <c r="GE919" s="109"/>
      <c r="GF919" s="111"/>
      <c r="GG919" s="109"/>
      <c r="GH919" s="109"/>
      <c r="GI919" s="110"/>
      <c r="GJ919" s="109"/>
      <c r="GK919" s="111"/>
      <c r="GL919" s="109"/>
      <c r="GM919" s="109"/>
      <c r="GN919" s="110"/>
      <c r="GO919" s="109"/>
      <c r="GP919" s="111"/>
      <c r="GQ919" s="109"/>
      <c r="GR919" s="109"/>
      <c r="GS919" s="110"/>
      <c r="GT919" s="109"/>
      <c r="GU919" s="111"/>
      <c r="GV919" s="109"/>
      <c r="GW919" s="109"/>
      <c r="GX919" s="110"/>
      <c r="GY919" s="109"/>
      <c r="GZ919" s="111"/>
      <c r="HA919" s="109"/>
      <c r="HB919" s="109"/>
      <c r="HC919" s="110"/>
      <c r="HD919" s="109"/>
      <c r="HE919" s="111"/>
      <c r="HF919" s="109"/>
      <c r="HG919" s="109"/>
      <c r="HH919" s="110"/>
      <c r="HI919" s="109"/>
      <c r="HJ919" s="111"/>
      <c r="HK919" s="109"/>
      <c r="HL919" s="109"/>
      <c r="HM919" s="110"/>
      <c r="HN919" s="109"/>
      <c r="HO919" s="111"/>
      <c r="HP919" s="109"/>
      <c r="HQ919" s="109"/>
      <c r="HR919" s="110"/>
      <c r="HS919" s="109"/>
      <c r="HT919" s="111"/>
      <c r="HU919" s="109"/>
      <c r="HV919" s="109"/>
      <c r="HW919" s="110"/>
      <c r="HX919" s="109"/>
      <c r="HY919" s="111"/>
      <c r="HZ919" s="109"/>
      <c r="IA919" s="109"/>
      <c r="IB919" s="110"/>
      <c r="IC919" s="109"/>
      <c r="ID919" s="111"/>
      <c r="IE919" s="109"/>
      <c r="IF919" s="109"/>
      <c r="IG919" s="110"/>
      <c r="IH919" s="109"/>
      <c r="II919" s="111"/>
      <c r="IJ919" s="109"/>
      <c r="IK919" s="109"/>
      <c r="IL919" s="110"/>
      <c r="IM919" s="109"/>
      <c r="IN919" s="111"/>
      <c r="IO919" s="109"/>
      <c r="IP919" s="109"/>
      <c r="IQ919" s="110"/>
      <c r="IR919" s="109"/>
      <c r="IS919" s="111"/>
      <c r="IT919" s="109"/>
      <c r="IU919" s="109"/>
      <c r="IV919" s="110"/>
    </row>
    <row r="920" spans="1:256" s="123" customFormat="1" ht="14.25">
      <c r="A920" s="134">
        <v>37188</v>
      </c>
      <c r="B920" s="111">
        <v>52.7898</v>
      </c>
      <c r="C920" s="111">
        <f t="shared" si="15"/>
        <v>0.0527898</v>
      </c>
      <c r="D920" s="111">
        <v>31.7182</v>
      </c>
      <c r="E920" s="111">
        <v>35.6905</v>
      </c>
      <c r="F920" s="131"/>
      <c r="G920" s="109"/>
      <c r="H920" s="111"/>
      <c r="I920" s="109"/>
      <c r="J920" s="109"/>
      <c r="K920" s="110"/>
      <c r="L920" s="109"/>
      <c r="M920" s="111"/>
      <c r="N920" s="109"/>
      <c r="O920" s="109"/>
      <c r="P920" s="110"/>
      <c r="Q920" s="109"/>
      <c r="R920" s="111"/>
      <c r="S920" s="109"/>
      <c r="T920" s="109"/>
      <c r="U920" s="110"/>
      <c r="V920" s="109"/>
      <c r="W920" s="111"/>
      <c r="X920" s="109"/>
      <c r="Y920" s="109"/>
      <c r="Z920" s="110"/>
      <c r="AA920" s="109"/>
      <c r="AB920" s="111"/>
      <c r="AC920" s="109"/>
      <c r="AD920" s="109"/>
      <c r="AE920" s="110"/>
      <c r="AF920" s="109"/>
      <c r="AG920" s="111"/>
      <c r="AH920" s="109"/>
      <c r="AI920" s="109"/>
      <c r="AJ920" s="110"/>
      <c r="AK920" s="109"/>
      <c r="AL920" s="111"/>
      <c r="AM920" s="109"/>
      <c r="AN920" s="109"/>
      <c r="AO920" s="110"/>
      <c r="AP920" s="109"/>
      <c r="AQ920" s="111"/>
      <c r="AR920" s="109"/>
      <c r="AS920" s="109"/>
      <c r="AT920" s="110"/>
      <c r="AU920" s="109"/>
      <c r="AV920" s="111"/>
      <c r="AW920" s="109"/>
      <c r="AX920" s="109"/>
      <c r="AY920" s="110"/>
      <c r="AZ920" s="109"/>
      <c r="BA920" s="111"/>
      <c r="BB920" s="109"/>
      <c r="BC920" s="109"/>
      <c r="BD920" s="110"/>
      <c r="BE920" s="109"/>
      <c r="BF920" s="111"/>
      <c r="BG920" s="109"/>
      <c r="BH920" s="109"/>
      <c r="BI920" s="110"/>
      <c r="BJ920" s="109"/>
      <c r="BK920" s="111"/>
      <c r="BL920" s="109"/>
      <c r="BM920" s="109"/>
      <c r="BN920" s="110"/>
      <c r="BO920" s="109"/>
      <c r="BP920" s="111"/>
      <c r="BQ920" s="109"/>
      <c r="BR920" s="109"/>
      <c r="BS920" s="110"/>
      <c r="BT920" s="109"/>
      <c r="BU920" s="111"/>
      <c r="BV920" s="109"/>
      <c r="BW920" s="109"/>
      <c r="BX920" s="110"/>
      <c r="BY920" s="109"/>
      <c r="BZ920" s="111"/>
      <c r="CA920" s="109"/>
      <c r="CB920" s="109"/>
      <c r="CC920" s="110"/>
      <c r="CD920" s="109"/>
      <c r="CE920" s="111"/>
      <c r="CF920" s="109"/>
      <c r="CG920" s="109"/>
      <c r="CH920" s="110"/>
      <c r="CI920" s="109"/>
      <c r="CJ920" s="111"/>
      <c r="CK920" s="109"/>
      <c r="CL920" s="109"/>
      <c r="CM920" s="110"/>
      <c r="CN920" s="109"/>
      <c r="CO920" s="111"/>
      <c r="CP920" s="109"/>
      <c r="CQ920" s="109"/>
      <c r="CR920" s="110"/>
      <c r="CS920" s="109"/>
      <c r="CT920" s="111"/>
      <c r="CU920" s="109"/>
      <c r="CV920" s="109"/>
      <c r="CW920" s="110"/>
      <c r="CX920" s="109"/>
      <c r="CY920" s="111"/>
      <c r="CZ920" s="109"/>
      <c r="DA920" s="109"/>
      <c r="DB920" s="110"/>
      <c r="DC920" s="109"/>
      <c r="DD920" s="111"/>
      <c r="DE920" s="109"/>
      <c r="DF920" s="109"/>
      <c r="DG920" s="110"/>
      <c r="DH920" s="109"/>
      <c r="DI920" s="111"/>
      <c r="DJ920" s="109"/>
      <c r="DK920" s="109"/>
      <c r="DL920" s="110"/>
      <c r="DM920" s="109"/>
      <c r="DN920" s="111"/>
      <c r="DO920" s="109"/>
      <c r="DP920" s="109"/>
      <c r="DQ920" s="110"/>
      <c r="DR920" s="109"/>
      <c r="DS920" s="111"/>
      <c r="DT920" s="109"/>
      <c r="DU920" s="109"/>
      <c r="DV920" s="110"/>
      <c r="DW920" s="109"/>
      <c r="DX920" s="111"/>
      <c r="DY920" s="109"/>
      <c r="DZ920" s="109"/>
      <c r="EA920" s="110"/>
      <c r="EB920" s="109"/>
      <c r="EC920" s="111"/>
      <c r="ED920" s="109"/>
      <c r="EE920" s="109"/>
      <c r="EF920" s="110"/>
      <c r="EG920" s="109"/>
      <c r="EH920" s="111"/>
      <c r="EI920" s="109"/>
      <c r="EJ920" s="109"/>
      <c r="EK920" s="110"/>
      <c r="EL920" s="109"/>
      <c r="EM920" s="111"/>
      <c r="EN920" s="109"/>
      <c r="EO920" s="109"/>
      <c r="EP920" s="110"/>
      <c r="EQ920" s="109"/>
      <c r="ER920" s="111"/>
      <c r="ES920" s="109"/>
      <c r="ET920" s="109"/>
      <c r="EU920" s="110"/>
      <c r="EV920" s="109"/>
      <c r="EW920" s="111"/>
      <c r="EX920" s="109"/>
      <c r="EY920" s="109"/>
      <c r="EZ920" s="110"/>
      <c r="FA920" s="109"/>
      <c r="FB920" s="111"/>
      <c r="FC920" s="109"/>
      <c r="FD920" s="109"/>
      <c r="FE920" s="110"/>
      <c r="FF920" s="109"/>
      <c r="FG920" s="111"/>
      <c r="FH920" s="109"/>
      <c r="FI920" s="109"/>
      <c r="FJ920" s="110"/>
      <c r="FK920" s="109"/>
      <c r="FL920" s="111"/>
      <c r="FM920" s="109"/>
      <c r="FN920" s="109"/>
      <c r="FO920" s="110"/>
      <c r="FP920" s="109"/>
      <c r="FQ920" s="111"/>
      <c r="FR920" s="109"/>
      <c r="FS920" s="109"/>
      <c r="FT920" s="110"/>
      <c r="FU920" s="109"/>
      <c r="FV920" s="111"/>
      <c r="FW920" s="109"/>
      <c r="FX920" s="109"/>
      <c r="FY920" s="110"/>
      <c r="FZ920" s="109"/>
      <c r="GA920" s="111"/>
      <c r="GB920" s="109"/>
      <c r="GC920" s="109"/>
      <c r="GD920" s="110"/>
      <c r="GE920" s="109"/>
      <c r="GF920" s="111"/>
      <c r="GG920" s="109"/>
      <c r="GH920" s="109"/>
      <c r="GI920" s="110"/>
      <c r="GJ920" s="109"/>
      <c r="GK920" s="111"/>
      <c r="GL920" s="109"/>
      <c r="GM920" s="109"/>
      <c r="GN920" s="110"/>
      <c r="GO920" s="109"/>
      <c r="GP920" s="111"/>
      <c r="GQ920" s="109"/>
      <c r="GR920" s="109"/>
      <c r="GS920" s="110"/>
      <c r="GT920" s="109"/>
      <c r="GU920" s="111"/>
      <c r="GV920" s="109"/>
      <c r="GW920" s="109"/>
      <c r="GX920" s="110"/>
      <c r="GY920" s="109"/>
      <c r="GZ920" s="111"/>
      <c r="HA920" s="109"/>
      <c r="HB920" s="109"/>
      <c r="HC920" s="110"/>
      <c r="HD920" s="109"/>
      <c r="HE920" s="111"/>
      <c r="HF920" s="109"/>
      <c r="HG920" s="109"/>
      <c r="HH920" s="110"/>
      <c r="HI920" s="109"/>
      <c r="HJ920" s="111"/>
      <c r="HK920" s="109"/>
      <c r="HL920" s="109"/>
      <c r="HM920" s="110"/>
      <c r="HN920" s="109"/>
      <c r="HO920" s="111"/>
      <c r="HP920" s="109"/>
      <c r="HQ920" s="109"/>
      <c r="HR920" s="110"/>
      <c r="HS920" s="109"/>
      <c r="HT920" s="111"/>
      <c r="HU920" s="109"/>
      <c r="HV920" s="109"/>
      <c r="HW920" s="110"/>
      <c r="HX920" s="109"/>
      <c r="HY920" s="111"/>
      <c r="HZ920" s="109"/>
      <c r="IA920" s="109"/>
      <c r="IB920" s="110"/>
      <c r="IC920" s="109"/>
      <c r="ID920" s="111"/>
      <c r="IE920" s="109"/>
      <c r="IF920" s="109"/>
      <c r="IG920" s="110"/>
      <c r="IH920" s="109"/>
      <c r="II920" s="111"/>
      <c r="IJ920" s="109"/>
      <c r="IK920" s="109"/>
      <c r="IL920" s="110"/>
      <c r="IM920" s="109"/>
      <c r="IN920" s="111"/>
      <c r="IO920" s="109"/>
      <c r="IP920" s="109"/>
      <c r="IQ920" s="110"/>
      <c r="IR920" s="109"/>
      <c r="IS920" s="111"/>
      <c r="IT920" s="109"/>
      <c r="IU920" s="109"/>
      <c r="IV920" s="110"/>
    </row>
    <row r="921" spans="1:256" s="123" customFormat="1" ht="14.25">
      <c r="A921" s="134">
        <v>37189</v>
      </c>
      <c r="B921" s="111">
        <v>53.3765</v>
      </c>
      <c r="C921" s="111">
        <f t="shared" si="15"/>
        <v>0.0533765</v>
      </c>
      <c r="D921" s="111">
        <v>32.1637</v>
      </c>
      <c r="E921" s="111">
        <v>36.0701</v>
      </c>
      <c r="F921" s="131"/>
      <c r="G921" s="109"/>
      <c r="H921" s="111"/>
      <c r="I921" s="109"/>
      <c r="J921" s="109"/>
      <c r="K921" s="110"/>
      <c r="L921" s="109"/>
      <c r="M921" s="111"/>
      <c r="N921" s="109"/>
      <c r="O921" s="109"/>
      <c r="P921" s="110"/>
      <c r="Q921" s="109"/>
      <c r="R921" s="111"/>
      <c r="S921" s="109"/>
      <c r="T921" s="109"/>
      <c r="U921" s="110"/>
      <c r="V921" s="109"/>
      <c r="W921" s="111"/>
      <c r="X921" s="109"/>
      <c r="Y921" s="109"/>
      <c r="Z921" s="110"/>
      <c r="AA921" s="109"/>
      <c r="AB921" s="111"/>
      <c r="AC921" s="109"/>
      <c r="AD921" s="109"/>
      <c r="AE921" s="110"/>
      <c r="AF921" s="109"/>
      <c r="AG921" s="111"/>
      <c r="AH921" s="109"/>
      <c r="AI921" s="109"/>
      <c r="AJ921" s="110"/>
      <c r="AK921" s="109"/>
      <c r="AL921" s="111"/>
      <c r="AM921" s="109"/>
      <c r="AN921" s="109"/>
      <c r="AO921" s="110"/>
      <c r="AP921" s="109"/>
      <c r="AQ921" s="111"/>
      <c r="AR921" s="109"/>
      <c r="AS921" s="109"/>
      <c r="AT921" s="110"/>
      <c r="AU921" s="109"/>
      <c r="AV921" s="111"/>
      <c r="AW921" s="109"/>
      <c r="AX921" s="109"/>
      <c r="AY921" s="110"/>
      <c r="AZ921" s="109"/>
      <c r="BA921" s="111"/>
      <c r="BB921" s="109"/>
      <c r="BC921" s="109"/>
      <c r="BD921" s="110"/>
      <c r="BE921" s="109"/>
      <c r="BF921" s="111"/>
      <c r="BG921" s="109"/>
      <c r="BH921" s="109"/>
      <c r="BI921" s="110"/>
      <c r="BJ921" s="109"/>
      <c r="BK921" s="111"/>
      <c r="BL921" s="109"/>
      <c r="BM921" s="109"/>
      <c r="BN921" s="110"/>
      <c r="BO921" s="109"/>
      <c r="BP921" s="111"/>
      <c r="BQ921" s="109"/>
      <c r="BR921" s="109"/>
      <c r="BS921" s="110"/>
      <c r="BT921" s="109"/>
      <c r="BU921" s="111"/>
      <c r="BV921" s="109"/>
      <c r="BW921" s="109"/>
      <c r="BX921" s="110"/>
      <c r="BY921" s="109"/>
      <c r="BZ921" s="111"/>
      <c r="CA921" s="109"/>
      <c r="CB921" s="109"/>
      <c r="CC921" s="110"/>
      <c r="CD921" s="109"/>
      <c r="CE921" s="111"/>
      <c r="CF921" s="109"/>
      <c r="CG921" s="109"/>
      <c r="CH921" s="110"/>
      <c r="CI921" s="109"/>
      <c r="CJ921" s="111"/>
      <c r="CK921" s="109"/>
      <c r="CL921" s="109"/>
      <c r="CM921" s="110"/>
      <c r="CN921" s="109"/>
      <c r="CO921" s="111"/>
      <c r="CP921" s="109"/>
      <c r="CQ921" s="109"/>
      <c r="CR921" s="110"/>
      <c r="CS921" s="109"/>
      <c r="CT921" s="111"/>
      <c r="CU921" s="109"/>
      <c r="CV921" s="109"/>
      <c r="CW921" s="110"/>
      <c r="CX921" s="109"/>
      <c r="CY921" s="111"/>
      <c r="CZ921" s="109"/>
      <c r="DA921" s="109"/>
      <c r="DB921" s="110"/>
      <c r="DC921" s="109"/>
      <c r="DD921" s="111"/>
      <c r="DE921" s="109"/>
      <c r="DF921" s="109"/>
      <c r="DG921" s="110"/>
      <c r="DH921" s="109"/>
      <c r="DI921" s="111"/>
      <c r="DJ921" s="109"/>
      <c r="DK921" s="109"/>
      <c r="DL921" s="110"/>
      <c r="DM921" s="109"/>
      <c r="DN921" s="111"/>
      <c r="DO921" s="109"/>
      <c r="DP921" s="109"/>
      <c r="DQ921" s="110"/>
      <c r="DR921" s="109"/>
      <c r="DS921" s="111"/>
      <c r="DT921" s="109"/>
      <c r="DU921" s="109"/>
      <c r="DV921" s="110"/>
      <c r="DW921" s="109"/>
      <c r="DX921" s="111"/>
      <c r="DY921" s="109"/>
      <c r="DZ921" s="109"/>
      <c r="EA921" s="110"/>
      <c r="EB921" s="109"/>
      <c r="EC921" s="111"/>
      <c r="ED921" s="109"/>
      <c r="EE921" s="109"/>
      <c r="EF921" s="110"/>
      <c r="EG921" s="109"/>
      <c r="EH921" s="111"/>
      <c r="EI921" s="109"/>
      <c r="EJ921" s="109"/>
      <c r="EK921" s="110"/>
      <c r="EL921" s="109"/>
      <c r="EM921" s="111"/>
      <c r="EN921" s="109"/>
      <c r="EO921" s="109"/>
      <c r="EP921" s="110"/>
      <c r="EQ921" s="109"/>
      <c r="ER921" s="111"/>
      <c r="ES921" s="109"/>
      <c r="ET921" s="109"/>
      <c r="EU921" s="110"/>
      <c r="EV921" s="109"/>
      <c r="EW921" s="111"/>
      <c r="EX921" s="109"/>
      <c r="EY921" s="109"/>
      <c r="EZ921" s="110"/>
      <c r="FA921" s="109"/>
      <c r="FB921" s="111"/>
      <c r="FC921" s="109"/>
      <c r="FD921" s="109"/>
      <c r="FE921" s="110"/>
      <c r="FF921" s="109"/>
      <c r="FG921" s="111"/>
      <c r="FH921" s="109"/>
      <c r="FI921" s="109"/>
      <c r="FJ921" s="110"/>
      <c r="FK921" s="109"/>
      <c r="FL921" s="111"/>
      <c r="FM921" s="109"/>
      <c r="FN921" s="109"/>
      <c r="FO921" s="110"/>
      <c r="FP921" s="109"/>
      <c r="FQ921" s="111"/>
      <c r="FR921" s="109"/>
      <c r="FS921" s="109"/>
      <c r="FT921" s="110"/>
      <c r="FU921" s="109"/>
      <c r="FV921" s="111"/>
      <c r="FW921" s="109"/>
      <c r="FX921" s="109"/>
      <c r="FY921" s="110"/>
      <c r="FZ921" s="109"/>
      <c r="GA921" s="111"/>
      <c r="GB921" s="109"/>
      <c r="GC921" s="109"/>
      <c r="GD921" s="110"/>
      <c r="GE921" s="109"/>
      <c r="GF921" s="111"/>
      <c r="GG921" s="109"/>
      <c r="GH921" s="109"/>
      <c r="GI921" s="110"/>
      <c r="GJ921" s="109"/>
      <c r="GK921" s="111"/>
      <c r="GL921" s="109"/>
      <c r="GM921" s="109"/>
      <c r="GN921" s="110"/>
      <c r="GO921" s="109"/>
      <c r="GP921" s="111"/>
      <c r="GQ921" s="109"/>
      <c r="GR921" s="109"/>
      <c r="GS921" s="110"/>
      <c r="GT921" s="109"/>
      <c r="GU921" s="111"/>
      <c r="GV921" s="109"/>
      <c r="GW921" s="109"/>
      <c r="GX921" s="110"/>
      <c r="GY921" s="109"/>
      <c r="GZ921" s="111"/>
      <c r="HA921" s="109"/>
      <c r="HB921" s="109"/>
      <c r="HC921" s="110"/>
      <c r="HD921" s="109"/>
      <c r="HE921" s="111"/>
      <c r="HF921" s="109"/>
      <c r="HG921" s="109"/>
      <c r="HH921" s="110"/>
      <c r="HI921" s="109"/>
      <c r="HJ921" s="111"/>
      <c r="HK921" s="109"/>
      <c r="HL921" s="109"/>
      <c r="HM921" s="110"/>
      <c r="HN921" s="109"/>
      <c r="HO921" s="111"/>
      <c r="HP921" s="109"/>
      <c r="HQ921" s="109"/>
      <c r="HR921" s="110"/>
      <c r="HS921" s="109"/>
      <c r="HT921" s="111"/>
      <c r="HU921" s="109"/>
      <c r="HV921" s="109"/>
      <c r="HW921" s="110"/>
      <c r="HX921" s="109"/>
      <c r="HY921" s="111"/>
      <c r="HZ921" s="109"/>
      <c r="IA921" s="109"/>
      <c r="IB921" s="110"/>
      <c r="IC921" s="109"/>
      <c r="ID921" s="111"/>
      <c r="IE921" s="109"/>
      <c r="IF921" s="109"/>
      <c r="IG921" s="110"/>
      <c r="IH921" s="109"/>
      <c r="II921" s="111"/>
      <c r="IJ921" s="109"/>
      <c r="IK921" s="109"/>
      <c r="IL921" s="110"/>
      <c r="IM921" s="109"/>
      <c r="IN921" s="111"/>
      <c r="IO921" s="109"/>
      <c r="IP921" s="109"/>
      <c r="IQ921" s="110"/>
      <c r="IR921" s="109"/>
      <c r="IS921" s="111"/>
      <c r="IT921" s="109"/>
      <c r="IU921" s="109"/>
      <c r="IV921" s="110"/>
    </row>
    <row r="922" spans="1:256" s="123" customFormat="1" ht="14.25">
      <c r="A922" s="134">
        <v>37190</v>
      </c>
      <c r="B922" s="111">
        <v>51.7989</v>
      </c>
      <c r="C922" s="111">
        <f t="shared" si="15"/>
        <v>0.0517989</v>
      </c>
      <c r="D922" s="111">
        <v>31.155</v>
      </c>
      <c r="E922" s="111">
        <v>35.049</v>
      </c>
      <c r="F922" s="131"/>
      <c r="G922" s="109"/>
      <c r="H922" s="111"/>
      <c r="I922" s="109"/>
      <c r="J922" s="109"/>
      <c r="K922" s="110"/>
      <c r="L922" s="109"/>
      <c r="M922" s="111"/>
      <c r="N922" s="109"/>
      <c r="O922" s="109"/>
      <c r="P922" s="110"/>
      <c r="Q922" s="109"/>
      <c r="R922" s="111"/>
      <c r="S922" s="109"/>
      <c r="T922" s="109"/>
      <c r="U922" s="110"/>
      <c r="V922" s="109"/>
      <c r="W922" s="111"/>
      <c r="X922" s="109"/>
      <c r="Y922" s="109"/>
      <c r="Z922" s="110"/>
      <c r="AA922" s="109"/>
      <c r="AB922" s="111"/>
      <c r="AC922" s="109"/>
      <c r="AD922" s="109"/>
      <c r="AE922" s="110"/>
      <c r="AF922" s="109"/>
      <c r="AG922" s="111"/>
      <c r="AH922" s="109"/>
      <c r="AI922" s="109"/>
      <c r="AJ922" s="110"/>
      <c r="AK922" s="109"/>
      <c r="AL922" s="111"/>
      <c r="AM922" s="109"/>
      <c r="AN922" s="109"/>
      <c r="AO922" s="110"/>
      <c r="AP922" s="109"/>
      <c r="AQ922" s="111"/>
      <c r="AR922" s="109"/>
      <c r="AS922" s="109"/>
      <c r="AT922" s="110"/>
      <c r="AU922" s="109"/>
      <c r="AV922" s="111"/>
      <c r="AW922" s="109"/>
      <c r="AX922" s="109"/>
      <c r="AY922" s="110"/>
      <c r="AZ922" s="109"/>
      <c r="BA922" s="111"/>
      <c r="BB922" s="109"/>
      <c r="BC922" s="109"/>
      <c r="BD922" s="110"/>
      <c r="BE922" s="109"/>
      <c r="BF922" s="111"/>
      <c r="BG922" s="109"/>
      <c r="BH922" s="109"/>
      <c r="BI922" s="110"/>
      <c r="BJ922" s="109"/>
      <c r="BK922" s="111"/>
      <c r="BL922" s="109"/>
      <c r="BM922" s="109"/>
      <c r="BN922" s="110"/>
      <c r="BO922" s="109"/>
      <c r="BP922" s="111"/>
      <c r="BQ922" s="109"/>
      <c r="BR922" s="109"/>
      <c r="BS922" s="110"/>
      <c r="BT922" s="109"/>
      <c r="BU922" s="111"/>
      <c r="BV922" s="109"/>
      <c r="BW922" s="109"/>
      <c r="BX922" s="110"/>
      <c r="BY922" s="109"/>
      <c r="BZ922" s="111"/>
      <c r="CA922" s="109"/>
      <c r="CB922" s="109"/>
      <c r="CC922" s="110"/>
      <c r="CD922" s="109"/>
      <c r="CE922" s="111"/>
      <c r="CF922" s="109"/>
      <c r="CG922" s="109"/>
      <c r="CH922" s="110"/>
      <c r="CI922" s="109"/>
      <c r="CJ922" s="111"/>
      <c r="CK922" s="109"/>
      <c r="CL922" s="109"/>
      <c r="CM922" s="110"/>
      <c r="CN922" s="109"/>
      <c r="CO922" s="111"/>
      <c r="CP922" s="109"/>
      <c r="CQ922" s="109"/>
      <c r="CR922" s="110"/>
      <c r="CS922" s="109"/>
      <c r="CT922" s="111"/>
      <c r="CU922" s="109"/>
      <c r="CV922" s="109"/>
      <c r="CW922" s="110"/>
      <c r="CX922" s="109"/>
      <c r="CY922" s="111"/>
      <c r="CZ922" s="109"/>
      <c r="DA922" s="109"/>
      <c r="DB922" s="110"/>
      <c r="DC922" s="109"/>
      <c r="DD922" s="111"/>
      <c r="DE922" s="109"/>
      <c r="DF922" s="109"/>
      <c r="DG922" s="110"/>
      <c r="DH922" s="109"/>
      <c r="DI922" s="111"/>
      <c r="DJ922" s="109"/>
      <c r="DK922" s="109"/>
      <c r="DL922" s="110"/>
      <c r="DM922" s="109"/>
      <c r="DN922" s="111"/>
      <c r="DO922" s="109"/>
      <c r="DP922" s="109"/>
      <c r="DQ922" s="110"/>
      <c r="DR922" s="109"/>
      <c r="DS922" s="111"/>
      <c r="DT922" s="109"/>
      <c r="DU922" s="109"/>
      <c r="DV922" s="110"/>
      <c r="DW922" s="109"/>
      <c r="DX922" s="111"/>
      <c r="DY922" s="109"/>
      <c r="DZ922" s="109"/>
      <c r="EA922" s="110"/>
      <c r="EB922" s="109"/>
      <c r="EC922" s="111"/>
      <c r="ED922" s="109"/>
      <c r="EE922" s="109"/>
      <c r="EF922" s="110"/>
      <c r="EG922" s="109"/>
      <c r="EH922" s="111"/>
      <c r="EI922" s="109"/>
      <c r="EJ922" s="109"/>
      <c r="EK922" s="110"/>
      <c r="EL922" s="109"/>
      <c r="EM922" s="111"/>
      <c r="EN922" s="109"/>
      <c r="EO922" s="109"/>
      <c r="EP922" s="110"/>
      <c r="EQ922" s="109"/>
      <c r="ER922" s="111"/>
      <c r="ES922" s="109"/>
      <c r="ET922" s="109"/>
      <c r="EU922" s="110"/>
      <c r="EV922" s="109"/>
      <c r="EW922" s="111"/>
      <c r="EX922" s="109"/>
      <c r="EY922" s="109"/>
      <c r="EZ922" s="110"/>
      <c r="FA922" s="109"/>
      <c r="FB922" s="111"/>
      <c r="FC922" s="109"/>
      <c r="FD922" s="109"/>
      <c r="FE922" s="110"/>
      <c r="FF922" s="109"/>
      <c r="FG922" s="111"/>
      <c r="FH922" s="109"/>
      <c r="FI922" s="109"/>
      <c r="FJ922" s="110"/>
      <c r="FK922" s="109"/>
      <c r="FL922" s="111"/>
      <c r="FM922" s="109"/>
      <c r="FN922" s="109"/>
      <c r="FO922" s="110"/>
      <c r="FP922" s="109"/>
      <c r="FQ922" s="111"/>
      <c r="FR922" s="109"/>
      <c r="FS922" s="109"/>
      <c r="FT922" s="110"/>
      <c r="FU922" s="109"/>
      <c r="FV922" s="111"/>
      <c r="FW922" s="109"/>
      <c r="FX922" s="109"/>
      <c r="FY922" s="110"/>
      <c r="FZ922" s="109"/>
      <c r="GA922" s="111"/>
      <c r="GB922" s="109"/>
      <c r="GC922" s="109"/>
      <c r="GD922" s="110"/>
      <c r="GE922" s="109"/>
      <c r="GF922" s="111"/>
      <c r="GG922" s="109"/>
      <c r="GH922" s="109"/>
      <c r="GI922" s="110"/>
      <c r="GJ922" s="109"/>
      <c r="GK922" s="111"/>
      <c r="GL922" s="109"/>
      <c r="GM922" s="109"/>
      <c r="GN922" s="110"/>
      <c r="GO922" s="109"/>
      <c r="GP922" s="111"/>
      <c r="GQ922" s="109"/>
      <c r="GR922" s="109"/>
      <c r="GS922" s="110"/>
      <c r="GT922" s="109"/>
      <c r="GU922" s="111"/>
      <c r="GV922" s="109"/>
      <c r="GW922" s="109"/>
      <c r="GX922" s="110"/>
      <c r="GY922" s="109"/>
      <c r="GZ922" s="111"/>
      <c r="HA922" s="109"/>
      <c r="HB922" s="109"/>
      <c r="HC922" s="110"/>
      <c r="HD922" s="109"/>
      <c r="HE922" s="111"/>
      <c r="HF922" s="109"/>
      <c r="HG922" s="109"/>
      <c r="HH922" s="110"/>
      <c r="HI922" s="109"/>
      <c r="HJ922" s="111"/>
      <c r="HK922" s="109"/>
      <c r="HL922" s="109"/>
      <c r="HM922" s="110"/>
      <c r="HN922" s="109"/>
      <c r="HO922" s="111"/>
      <c r="HP922" s="109"/>
      <c r="HQ922" s="109"/>
      <c r="HR922" s="110"/>
      <c r="HS922" s="109"/>
      <c r="HT922" s="111"/>
      <c r="HU922" s="109"/>
      <c r="HV922" s="109"/>
      <c r="HW922" s="110"/>
      <c r="HX922" s="109"/>
      <c r="HY922" s="111"/>
      <c r="HZ922" s="109"/>
      <c r="IA922" s="109"/>
      <c r="IB922" s="110"/>
      <c r="IC922" s="109"/>
      <c r="ID922" s="111"/>
      <c r="IE922" s="109"/>
      <c r="IF922" s="109"/>
      <c r="IG922" s="110"/>
      <c r="IH922" s="109"/>
      <c r="II922" s="111"/>
      <c r="IJ922" s="109"/>
      <c r="IK922" s="109"/>
      <c r="IL922" s="110"/>
      <c r="IM922" s="109"/>
      <c r="IN922" s="111"/>
      <c r="IO922" s="109"/>
      <c r="IP922" s="109"/>
      <c r="IQ922" s="110"/>
      <c r="IR922" s="109"/>
      <c r="IS922" s="111"/>
      <c r="IT922" s="109"/>
      <c r="IU922" s="109"/>
      <c r="IV922" s="110"/>
    </row>
    <row r="923" spans="1:256" s="123" customFormat="1" ht="14.25">
      <c r="A923" s="134">
        <v>37193</v>
      </c>
      <c r="B923" s="111">
        <v>54.7128</v>
      </c>
      <c r="C923" s="111">
        <f t="shared" si="15"/>
        <v>0.054712800000000006</v>
      </c>
      <c r="D923" s="111">
        <v>33.0629</v>
      </c>
      <c r="E923" s="111">
        <v>37.1035</v>
      </c>
      <c r="F923" s="131"/>
      <c r="G923" s="109"/>
      <c r="H923" s="111"/>
      <c r="I923" s="109"/>
      <c r="J923" s="109"/>
      <c r="K923" s="110"/>
      <c r="L923" s="109"/>
      <c r="M923" s="111"/>
      <c r="N923" s="109"/>
      <c r="O923" s="109"/>
      <c r="P923" s="110"/>
      <c r="Q923" s="109"/>
      <c r="R923" s="111"/>
      <c r="S923" s="109"/>
      <c r="T923" s="109"/>
      <c r="U923" s="110"/>
      <c r="V923" s="109"/>
      <c r="W923" s="111"/>
      <c r="X923" s="109"/>
      <c r="Y923" s="109"/>
      <c r="Z923" s="110"/>
      <c r="AA923" s="109"/>
      <c r="AB923" s="111"/>
      <c r="AC923" s="109"/>
      <c r="AD923" s="109"/>
      <c r="AE923" s="110"/>
      <c r="AF923" s="109"/>
      <c r="AG923" s="111"/>
      <c r="AH923" s="109"/>
      <c r="AI923" s="109"/>
      <c r="AJ923" s="110"/>
      <c r="AK923" s="109"/>
      <c r="AL923" s="111"/>
      <c r="AM923" s="109"/>
      <c r="AN923" s="109"/>
      <c r="AO923" s="110"/>
      <c r="AP923" s="109"/>
      <c r="AQ923" s="111"/>
      <c r="AR923" s="109"/>
      <c r="AS923" s="109"/>
      <c r="AT923" s="110"/>
      <c r="AU923" s="109"/>
      <c r="AV923" s="111"/>
      <c r="AW923" s="109"/>
      <c r="AX923" s="109"/>
      <c r="AY923" s="110"/>
      <c r="AZ923" s="109"/>
      <c r="BA923" s="111"/>
      <c r="BB923" s="109"/>
      <c r="BC923" s="109"/>
      <c r="BD923" s="110"/>
      <c r="BE923" s="109"/>
      <c r="BF923" s="111"/>
      <c r="BG923" s="109"/>
      <c r="BH923" s="109"/>
      <c r="BI923" s="110"/>
      <c r="BJ923" s="109"/>
      <c r="BK923" s="111"/>
      <c r="BL923" s="109"/>
      <c r="BM923" s="109"/>
      <c r="BN923" s="110"/>
      <c r="BO923" s="109"/>
      <c r="BP923" s="111"/>
      <c r="BQ923" s="109"/>
      <c r="BR923" s="109"/>
      <c r="BS923" s="110"/>
      <c r="BT923" s="109"/>
      <c r="BU923" s="111"/>
      <c r="BV923" s="109"/>
      <c r="BW923" s="109"/>
      <c r="BX923" s="110"/>
      <c r="BY923" s="109"/>
      <c r="BZ923" s="111"/>
      <c r="CA923" s="109"/>
      <c r="CB923" s="109"/>
      <c r="CC923" s="110"/>
      <c r="CD923" s="109"/>
      <c r="CE923" s="111"/>
      <c r="CF923" s="109"/>
      <c r="CG923" s="109"/>
      <c r="CH923" s="110"/>
      <c r="CI923" s="109"/>
      <c r="CJ923" s="111"/>
      <c r="CK923" s="109"/>
      <c r="CL923" s="109"/>
      <c r="CM923" s="110"/>
      <c r="CN923" s="109"/>
      <c r="CO923" s="111"/>
      <c r="CP923" s="109"/>
      <c r="CQ923" s="109"/>
      <c r="CR923" s="110"/>
      <c r="CS923" s="109"/>
      <c r="CT923" s="111"/>
      <c r="CU923" s="109"/>
      <c r="CV923" s="109"/>
      <c r="CW923" s="110"/>
      <c r="CX923" s="109"/>
      <c r="CY923" s="111"/>
      <c r="CZ923" s="109"/>
      <c r="DA923" s="109"/>
      <c r="DB923" s="110"/>
      <c r="DC923" s="109"/>
      <c r="DD923" s="111"/>
      <c r="DE923" s="109"/>
      <c r="DF923" s="109"/>
      <c r="DG923" s="110"/>
      <c r="DH923" s="109"/>
      <c r="DI923" s="111"/>
      <c r="DJ923" s="109"/>
      <c r="DK923" s="109"/>
      <c r="DL923" s="110"/>
      <c r="DM923" s="109"/>
      <c r="DN923" s="111"/>
      <c r="DO923" s="109"/>
      <c r="DP923" s="109"/>
      <c r="DQ923" s="110"/>
      <c r="DR923" s="109"/>
      <c r="DS923" s="111"/>
      <c r="DT923" s="109"/>
      <c r="DU923" s="109"/>
      <c r="DV923" s="110"/>
      <c r="DW923" s="109"/>
      <c r="DX923" s="111"/>
      <c r="DY923" s="109"/>
      <c r="DZ923" s="109"/>
      <c r="EA923" s="110"/>
      <c r="EB923" s="109"/>
      <c r="EC923" s="111"/>
      <c r="ED923" s="109"/>
      <c r="EE923" s="109"/>
      <c r="EF923" s="110"/>
      <c r="EG923" s="109"/>
      <c r="EH923" s="111"/>
      <c r="EI923" s="109"/>
      <c r="EJ923" s="109"/>
      <c r="EK923" s="110"/>
      <c r="EL923" s="109"/>
      <c r="EM923" s="111"/>
      <c r="EN923" s="109"/>
      <c r="EO923" s="109"/>
      <c r="EP923" s="110"/>
      <c r="EQ923" s="109"/>
      <c r="ER923" s="111"/>
      <c r="ES923" s="109"/>
      <c r="ET923" s="109"/>
      <c r="EU923" s="110"/>
      <c r="EV923" s="109"/>
      <c r="EW923" s="111"/>
      <c r="EX923" s="109"/>
      <c r="EY923" s="109"/>
      <c r="EZ923" s="110"/>
      <c r="FA923" s="109"/>
      <c r="FB923" s="111"/>
      <c r="FC923" s="109"/>
      <c r="FD923" s="109"/>
      <c r="FE923" s="110"/>
      <c r="FF923" s="109"/>
      <c r="FG923" s="111"/>
      <c r="FH923" s="109"/>
      <c r="FI923" s="109"/>
      <c r="FJ923" s="110"/>
      <c r="FK923" s="109"/>
      <c r="FL923" s="111"/>
      <c r="FM923" s="109"/>
      <c r="FN923" s="109"/>
      <c r="FO923" s="110"/>
      <c r="FP923" s="109"/>
      <c r="FQ923" s="111"/>
      <c r="FR923" s="109"/>
      <c r="FS923" s="109"/>
      <c r="FT923" s="110"/>
      <c r="FU923" s="109"/>
      <c r="FV923" s="111"/>
      <c r="FW923" s="109"/>
      <c r="FX923" s="109"/>
      <c r="FY923" s="110"/>
      <c r="FZ923" s="109"/>
      <c r="GA923" s="111"/>
      <c r="GB923" s="109"/>
      <c r="GC923" s="109"/>
      <c r="GD923" s="110"/>
      <c r="GE923" s="109"/>
      <c r="GF923" s="111"/>
      <c r="GG923" s="109"/>
      <c r="GH923" s="109"/>
      <c r="GI923" s="110"/>
      <c r="GJ923" s="109"/>
      <c r="GK923" s="111"/>
      <c r="GL923" s="109"/>
      <c r="GM923" s="109"/>
      <c r="GN923" s="110"/>
      <c r="GO923" s="109"/>
      <c r="GP923" s="111"/>
      <c r="GQ923" s="109"/>
      <c r="GR923" s="109"/>
      <c r="GS923" s="110"/>
      <c r="GT923" s="109"/>
      <c r="GU923" s="111"/>
      <c r="GV923" s="109"/>
      <c r="GW923" s="109"/>
      <c r="GX923" s="110"/>
      <c r="GY923" s="109"/>
      <c r="GZ923" s="111"/>
      <c r="HA923" s="109"/>
      <c r="HB923" s="109"/>
      <c r="HC923" s="110"/>
      <c r="HD923" s="109"/>
      <c r="HE923" s="111"/>
      <c r="HF923" s="109"/>
      <c r="HG923" s="109"/>
      <c r="HH923" s="110"/>
      <c r="HI923" s="109"/>
      <c r="HJ923" s="111"/>
      <c r="HK923" s="109"/>
      <c r="HL923" s="109"/>
      <c r="HM923" s="110"/>
      <c r="HN923" s="109"/>
      <c r="HO923" s="111"/>
      <c r="HP923" s="109"/>
      <c r="HQ923" s="109"/>
      <c r="HR923" s="110"/>
      <c r="HS923" s="109"/>
      <c r="HT923" s="111"/>
      <c r="HU923" s="109"/>
      <c r="HV923" s="109"/>
      <c r="HW923" s="110"/>
      <c r="HX923" s="109"/>
      <c r="HY923" s="111"/>
      <c r="HZ923" s="109"/>
      <c r="IA923" s="109"/>
      <c r="IB923" s="110"/>
      <c r="IC923" s="109"/>
      <c r="ID923" s="111"/>
      <c r="IE923" s="109"/>
      <c r="IF923" s="109"/>
      <c r="IG923" s="110"/>
      <c r="IH923" s="109"/>
      <c r="II923" s="111"/>
      <c r="IJ923" s="109"/>
      <c r="IK923" s="109"/>
      <c r="IL923" s="110"/>
      <c r="IM923" s="109"/>
      <c r="IN923" s="111"/>
      <c r="IO923" s="109"/>
      <c r="IP923" s="109"/>
      <c r="IQ923" s="110"/>
      <c r="IR923" s="109"/>
      <c r="IS923" s="111"/>
      <c r="IT923" s="109"/>
      <c r="IU923" s="109"/>
      <c r="IV923" s="110"/>
    </row>
    <row r="924" spans="1:256" s="123" customFormat="1" ht="14.25">
      <c r="A924" s="134">
        <v>37194</v>
      </c>
      <c r="B924" s="111">
        <v>60.3945</v>
      </c>
      <c r="C924" s="111">
        <f t="shared" si="15"/>
        <v>0.060394500000000004</v>
      </c>
      <c r="D924" s="111">
        <v>36.9014</v>
      </c>
      <c r="E924" s="111">
        <v>40.9788</v>
      </c>
      <c r="F924" s="131"/>
      <c r="G924" s="109"/>
      <c r="H924" s="111"/>
      <c r="I924" s="109"/>
      <c r="J924" s="109"/>
      <c r="K924" s="110"/>
      <c r="L924" s="109"/>
      <c r="M924" s="111"/>
      <c r="N924" s="109"/>
      <c r="O924" s="109"/>
      <c r="P924" s="110"/>
      <c r="Q924" s="109"/>
      <c r="R924" s="111"/>
      <c r="S924" s="109"/>
      <c r="T924" s="109"/>
      <c r="U924" s="110"/>
      <c r="V924" s="109"/>
      <c r="W924" s="111"/>
      <c r="X924" s="109"/>
      <c r="Y924" s="109"/>
      <c r="Z924" s="110"/>
      <c r="AA924" s="109"/>
      <c r="AB924" s="111"/>
      <c r="AC924" s="109"/>
      <c r="AD924" s="109"/>
      <c r="AE924" s="110"/>
      <c r="AF924" s="109"/>
      <c r="AG924" s="111"/>
      <c r="AH924" s="109"/>
      <c r="AI924" s="109"/>
      <c r="AJ924" s="110"/>
      <c r="AK924" s="109"/>
      <c r="AL924" s="111"/>
      <c r="AM924" s="109"/>
      <c r="AN924" s="109"/>
      <c r="AO924" s="110"/>
      <c r="AP924" s="109"/>
      <c r="AQ924" s="111"/>
      <c r="AR924" s="109"/>
      <c r="AS924" s="109"/>
      <c r="AT924" s="110"/>
      <c r="AU924" s="109"/>
      <c r="AV924" s="111"/>
      <c r="AW924" s="109"/>
      <c r="AX924" s="109"/>
      <c r="AY924" s="110"/>
      <c r="AZ924" s="109"/>
      <c r="BA924" s="111"/>
      <c r="BB924" s="109"/>
      <c r="BC924" s="109"/>
      <c r="BD924" s="110"/>
      <c r="BE924" s="109"/>
      <c r="BF924" s="111"/>
      <c r="BG924" s="109"/>
      <c r="BH924" s="109"/>
      <c r="BI924" s="110"/>
      <c r="BJ924" s="109"/>
      <c r="BK924" s="111"/>
      <c r="BL924" s="109"/>
      <c r="BM924" s="109"/>
      <c r="BN924" s="110"/>
      <c r="BO924" s="109"/>
      <c r="BP924" s="111"/>
      <c r="BQ924" s="109"/>
      <c r="BR924" s="109"/>
      <c r="BS924" s="110"/>
      <c r="BT924" s="109"/>
      <c r="BU924" s="111"/>
      <c r="BV924" s="109"/>
      <c r="BW924" s="109"/>
      <c r="BX924" s="110"/>
      <c r="BY924" s="109"/>
      <c r="BZ924" s="111"/>
      <c r="CA924" s="109"/>
      <c r="CB924" s="109"/>
      <c r="CC924" s="110"/>
      <c r="CD924" s="109"/>
      <c r="CE924" s="111"/>
      <c r="CF924" s="109"/>
      <c r="CG924" s="109"/>
      <c r="CH924" s="110"/>
      <c r="CI924" s="109"/>
      <c r="CJ924" s="111"/>
      <c r="CK924" s="109"/>
      <c r="CL924" s="109"/>
      <c r="CM924" s="110"/>
      <c r="CN924" s="109"/>
      <c r="CO924" s="111"/>
      <c r="CP924" s="109"/>
      <c r="CQ924" s="109"/>
      <c r="CR924" s="110"/>
      <c r="CS924" s="109"/>
      <c r="CT924" s="111"/>
      <c r="CU924" s="109"/>
      <c r="CV924" s="109"/>
      <c r="CW924" s="110"/>
      <c r="CX924" s="109"/>
      <c r="CY924" s="111"/>
      <c r="CZ924" s="109"/>
      <c r="DA924" s="109"/>
      <c r="DB924" s="110"/>
      <c r="DC924" s="109"/>
      <c r="DD924" s="111"/>
      <c r="DE924" s="109"/>
      <c r="DF924" s="109"/>
      <c r="DG924" s="110"/>
      <c r="DH924" s="109"/>
      <c r="DI924" s="111"/>
      <c r="DJ924" s="109"/>
      <c r="DK924" s="109"/>
      <c r="DL924" s="110"/>
      <c r="DM924" s="109"/>
      <c r="DN924" s="111"/>
      <c r="DO924" s="109"/>
      <c r="DP924" s="109"/>
      <c r="DQ924" s="110"/>
      <c r="DR924" s="109"/>
      <c r="DS924" s="111"/>
      <c r="DT924" s="109"/>
      <c r="DU924" s="109"/>
      <c r="DV924" s="110"/>
      <c r="DW924" s="109"/>
      <c r="DX924" s="111"/>
      <c r="DY924" s="109"/>
      <c r="DZ924" s="109"/>
      <c r="EA924" s="110"/>
      <c r="EB924" s="109"/>
      <c r="EC924" s="111"/>
      <c r="ED924" s="109"/>
      <c r="EE924" s="109"/>
      <c r="EF924" s="110"/>
      <c r="EG924" s="109"/>
      <c r="EH924" s="111"/>
      <c r="EI924" s="109"/>
      <c r="EJ924" s="109"/>
      <c r="EK924" s="110"/>
      <c r="EL924" s="109"/>
      <c r="EM924" s="111"/>
      <c r="EN924" s="109"/>
      <c r="EO924" s="109"/>
      <c r="EP924" s="110"/>
      <c r="EQ924" s="109"/>
      <c r="ER924" s="111"/>
      <c r="ES924" s="109"/>
      <c r="ET924" s="109"/>
      <c r="EU924" s="110"/>
      <c r="EV924" s="109"/>
      <c r="EW924" s="111"/>
      <c r="EX924" s="109"/>
      <c r="EY924" s="109"/>
      <c r="EZ924" s="110"/>
      <c r="FA924" s="109"/>
      <c r="FB924" s="111"/>
      <c r="FC924" s="109"/>
      <c r="FD924" s="109"/>
      <c r="FE924" s="110"/>
      <c r="FF924" s="109"/>
      <c r="FG924" s="111"/>
      <c r="FH924" s="109"/>
      <c r="FI924" s="109"/>
      <c r="FJ924" s="110"/>
      <c r="FK924" s="109"/>
      <c r="FL924" s="111"/>
      <c r="FM924" s="109"/>
      <c r="FN924" s="109"/>
      <c r="FO924" s="110"/>
      <c r="FP924" s="109"/>
      <c r="FQ924" s="111"/>
      <c r="FR924" s="109"/>
      <c r="FS924" s="109"/>
      <c r="FT924" s="110"/>
      <c r="FU924" s="109"/>
      <c r="FV924" s="111"/>
      <c r="FW924" s="109"/>
      <c r="FX924" s="109"/>
      <c r="FY924" s="110"/>
      <c r="FZ924" s="109"/>
      <c r="GA924" s="111"/>
      <c r="GB924" s="109"/>
      <c r="GC924" s="109"/>
      <c r="GD924" s="110"/>
      <c r="GE924" s="109"/>
      <c r="GF924" s="111"/>
      <c r="GG924" s="109"/>
      <c r="GH924" s="109"/>
      <c r="GI924" s="110"/>
      <c r="GJ924" s="109"/>
      <c r="GK924" s="111"/>
      <c r="GL924" s="109"/>
      <c r="GM924" s="109"/>
      <c r="GN924" s="110"/>
      <c r="GO924" s="109"/>
      <c r="GP924" s="111"/>
      <c r="GQ924" s="109"/>
      <c r="GR924" s="109"/>
      <c r="GS924" s="110"/>
      <c r="GT924" s="109"/>
      <c r="GU924" s="111"/>
      <c r="GV924" s="109"/>
      <c r="GW924" s="109"/>
      <c r="GX924" s="110"/>
      <c r="GY924" s="109"/>
      <c r="GZ924" s="111"/>
      <c r="HA924" s="109"/>
      <c r="HB924" s="109"/>
      <c r="HC924" s="110"/>
      <c r="HD924" s="109"/>
      <c r="HE924" s="111"/>
      <c r="HF924" s="109"/>
      <c r="HG924" s="109"/>
      <c r="HH924" s="110"/>
      <c r="HI924" s="109"/>
      <c r="HJ924" s="111"/>
      <c r="HK924" s="109"/>
      <c r="HL924" s="109"/>
      <c r="HM924" s="110"/>
      <c r="HN924" s="109"/>
      <c r="HO924" s="111"/>
      <c r="HP924" s="109"/>
      <c r="HQ924" s="109"/>
      <c r="HR924" s="110"/>
      <c r="HS924" s="109"/>
      <c r="HT924" s="111"/>
      <c r="HU924" s="109"/>
      <c r="HV924" s="109"/>
      <c r="HW924" s="110"/>
      <c r="HX924" s="109"/>
      <c r="HY924" s="111"/>
      <c r="HZ924" s="109"/>
      <c r="IA924" s="109"/>
      <c r="IB924" s="110"/>
      <c r="IC924" s="109"/>
      <c r="ID924" s="111"/>
      <c r="IE924" s="109"/>
      <c r="IF924" s="109"/>
      <c r="IG924" s="110"/>
      <c r="IH924" s="109"/>
      <c r="II924" s="111"/>
      <c r="IJ924" s="109"/>
      <c r="IK924" s="109"/>
      <c r="IL924" s="110"/>
      <c r="IM924" s="109"/>
      <c r="IN924" s="111"/>
      <c r="IO924" s="109"/>
      <c r="IP924" s="109"/>
      <c r="IQ924" s="110"/>
      <c r="IR924" s="109"/>
      <c r="IS924" s="111"/>
      <c r="IT924" s="109"/>
      <c r="IU924" s="109"/>
      <c r="IV924" s="110"/>
    </row>
    <row r="925" spans="1:256" s="123" customFormat="1" ht="14.25">
      <c r="A925" s="134">
        <v>37195</v>
      </c>
      <c r="B925" s="111">
        <v>48.0307</v>
      </c>
      <c r="C925" s="111">
        <f t="shared" si="15"/>
        <v>0.0480307</v>
      </c>
      <c r="D925" s="111">
        <v>29.6096</v>
      </c>
      <c r="E925" s="111">
        <v>32.6673</v>
      </c>
      <c r="F925" s="131"/>
      <c r="G925" s="109"/>
      <c r="H925" s="111"/>
      <c r="I925" s="109"/>
      <c r="J925" s="109"/>
      <c r="K925" s="110"/>
      <c r="L925" s="109"/>
      <c r="M925" s="111"/>
      <c r="N925" s="109"/>
      <c r="O925" s="109"/>
      <c r="P925" s="110"/>
      <c r="Q925" s="109"/>
      <c r="R925" s="111"/>
      <c r="S925" s="109"/>
      <c r="T925" s="109"/>
      <c r="U925" s="110"/>
      <c r="V925" s="109"/>
      <c r="W925" s="111"/>
      <c r="X925" s="109"/>
      <c r="Y925" s="109"/>
      <c r="Z925" s="110"/>
      <c r="AA925" s="109"/>
      <c r="AB925" s="111"/>
      <c r="AC925" s="109"/>
      <c r="AD925" s="109"/>
      <c r="AE925" s="110"/>
      <c r="AF925" s="109"/>
      <c r="AG925" s="111"/>
      <c r="AH925" s="109"/>
      <c r="AI925" s="109"/>
      <c r="AJ925" s="110"/>
      <c r="AK925" s="109"/>
      <c r="AL925" s="111"/>
      <c r="AM925" s="109"/>
      <c r="AN925" s="109"/>
      <c r="AO925" s="110"/>
      <c r="AP925" s="109"/>
      <c r="AQ925" s="111"/>
      <c r="AR925" s="109"/>
      <c r="AS925" s="109"/>
      <c r="AT925" s="110"/>
      <c r="AU925" s="109"/>
      <c r="AV925" s="111"/>
      <c r="AW925" s="109"/>
      <c r="AX925" s="109"/>
      <c r="AY925" s="110"/>
      <c r="AZ925" s="109"/>
      <c r="BA925" s="111"/>
      <c r="BB925" s="109"/>
      <c r="BC925" s="109"/>
      <c r="BD925" s="110"/>
      <c r="BE925" s="109"/>
      <c r="BF925" s="111"/>
      <c r="BG925" s="109"/>
      <c r="BH925" s="109"/>
      <c r="BI925" s="110"/>
      <c r="BJ925" s="109"/>
      <c r="BK925" s="111"/>
      <c r="BL925" s="109"/>
      <c r="BM925" s="109"/>
      <c r="BN925" s="110"/>
      <c r="BO925" s="109"/>
      <c r="BP925" s="111"/>
      <c r="BQ925" s="109"/>
      <c r="BR925" s="109"/>
      <c r="BS925" s="110"/>
      <c r="BT925" s="109"/>
      <c r="BU925" s="111"/>
      <c r="BV925" s="109"/>
      <c r="BW925" s="109"/>
      <c r="BX925" s="110"/>
      <c r="BY925" s="109"/>
      <c r="BZ925" s="111"/>
      <c r="CA925" s="109"/>
      <c r="CB925" s="109"/>
      <c r="CC925" s="110"/>
      <c r="CD925" s="109"/>
      <c r="CE925" s="111"/>
      <c r="CF925" s="109"/>
      <c r="CG925" s="109"/>
      <c r="CH925" s="110"/>
      <c r="CI925" s="109"/>
      <c r="CJ925" s="111"/>
      <c r="CK925" s="109"/>
      <c r="CL925" s="109"/>
      <c r="CM925" s="110"/>
      <c r="CN925" s="109"/>
      <c r="CO925" s="111"/>
      <c r="CP925" s="109"/>
      <c r="CQ925" s="109"/>
      <c r="CR925" s="110"/>
      <c r="CS925" s="109"/>
      <c r="CT925" s="111"/>
      <c r="CU925" s="109"/>
      <c r="CV925" s="109"/>
      <c r="CW925" s="110"/>
      <c r="CX925" s="109"/>
      <c r="CY925" s="111"/>
      <c r="CZ925" s="109"/>
      <c r="DA925" s="109"/>
      <c r="DB925" s="110"/>
      <c r="DC925" s="109"/>
      <c r="DD925" s="111"/>
      <c r="DE925" s="109"/>
      <c r="DF925" s="109"/>
      <c r="DG925" s="110"/>
      <c r="DH925" s="109"/>
      <c r="DI925" s="111"/>
      <c r="DJ925" s="109"/>
      <c r="DK925" s="109"/>
      <c r="DL925" s="110"/>
      <c r="DM925" s="109"/>
      <c r="DN925" s="111"/>
      <c r="DO925" s="109"/>
      <c r="DP925" s="109"/>
      <c r="DQ925" s="110"/>
      <c r="DR925" s="109"/>
      <c r="DS925" s="111"/>
      <c r="DT925" s="109"/>
      <c r="DU925" s="109"/>
      <c r="DV925" s="110"/>
      <c r="DW925" s="109"/>
      <c r="DX925" s="111"/>
      <c r="DY925" s="109"/>
      <c r="DZ925" s="109"/>
      <c r="EA925" s="110"/>
      <c r="EB925" s="109"/>
      <c r="EC925" s="111"/>
      <c r="ED925" s="109"/>
      <c r="EE925" s="109"/>
      <c r="EF925" s="110"/>
      <c r="EG925" s="109"/>
      <c r="EH925" s="111"/>
      <c r="EI925" s="109"/>
      <c r="EJ925" s="109"/>
      <c r="EK925" s="110"/>
      <c r="EL925" s="109"/>
      <c r="EM925" s="111"/>
      <c r="EN925" s="109"/>
      <c r="EO925" s="109"/>
      <c r="EP925" s="110"/>
      <c r="EQ925" s="109"/>
      <c r="ER925" s="111"/>
      <c r="ES925" s="109"/>
      <c r="ET925" s="109"/>
      <c r="EU925" s="110"/>
      <c r="EV925" s="109"/>
      <c r="EW925" s="111"/>
      <c r="EX925" s="109"/>
      <c r="EY925" s="109"/>
      <c r="EZ925" s="110"/>
      <c r="FA925" s="109"/>
      <c r="FB925" s="111"/>
      <c r="FC925" s="109"/>
      <c r="FD925" s="109"/>
      <c r="FE925" s="110"/>
      <c r="FF925" s="109"/>
      <c r="FG925" s="111"/>
      <c r="FH925" s="109"/>
      <c r="FI925" s="109"/>
      <c r="FJ925" s="110"/>
      <c r="FK925" s="109"/>
      <c r="FL925" s="111"/>
      <c r="FM925" s="109"/>
      <c r="FN925" s="109"/>
      <c r="FO925" s="110"/>
      <c r="FP925" s="109"/>
      <c r="FQ925" s="111"/>
      <c r="FR925" s="109"/>
      <c r="FS925" s="109"/>
      <c r="FT925" s="110"/>
      <c r="FU925" s="109"/>
      <c r="FV925" s="111"/>
      <c r="FW925" s="109"/>
      <c r="FX925" s="109"/>
      <c r="FY925" s="110"/>
      <c r="FZ925" s="109"/>
      <c r="GA925" s="111"/>
      <c r="GB925" s="109"/>
      <c r="GC925" s="109"/>
      <c r="GD925" s="110"/>
      <c r="GE925" s="109"/>
      <c r="GF925" s="111"/>
      <c r="GG925" s="109"/>
      <c r="GH925" s="109"/>
      <c r="GI925" s="110"/>
      <c r="GJ925" s="109"/>
      <c r="GK925" s="111"/>
      <c r="GL925" s="109"/>
      <c r="GM925" s="109"/>
      <c r="GN925" s="110"/>
      <c r="GO925" s="109"/>
      <c r="GP925" s="111"/>
      <c r="GQ925" s="109"/>
      <c r="GR925" s="109"/>
      <c r="GS925" s="110"/>
      <c r="GT925" s="109"/>
      <c r="GU925" s="111"/>
      <c r="GV925" s="109"/>
      <c r="GW925" s="109"/>
      <c r="GX925" s="110"/>
      <c r="GY925" s="109"/>
      <c r="GZ925" s="111"/>
      <c r="HA925" s="109"/>
      <c r="HB925" s="109"/>
      <c r="HC925" s="110"/>
      <c r="HD925" s="109"/>
      <c r="HE925" s="111"/>
      <c r="HF925" s="109"/>
      <c r="HG925" s="109"/>
      <c r="HH925" s="110"/>
      <c r="HI925" s="109"/>
      <c r="HJ925" s="111"/>
      <c r="HK925" s="109"/>
      <c r="HL925" s="109"/>
      <c r="HM925" s="110"/>
      <c r="HN925" s="109"/>
      <c r="HO925" s="111"/>
      <c r="HP925" s="109"/>
      <c r="HQ925" s="109"/>
      <c r="HR925" s="110"/>
      <c r="HS925" s="109"/>
      <c r="HT925" s="111"/>
      <c r="HU925" s="109"/>
      <c r="HV925" s="109"/>
      <c r="HW925" s="110"/>
      <c r="HX925" s="109"/>
      <c r="HY925" s="111"/>
      <c r="HZ925" s="109"/>
      <c r="IA925" s="109"/>
      <c r="IB925" s="110"/>
      <c r="IC925" s="109"/>
      <c r="ID925" s="111"/>
      <c r="IE925" s="109"/>
      <c r="IF925" s="109"/>
      <c r="IG925" s="110"/>
      <c r="IH925" s="109"/>
      <c r="II925" s="111"/>
      <c r="IJ925" s="109"/>
      <c r="IK925" s="109"/>
      <c r="IL925" s="110"/>
      <c r="IM925" s="109"/>
      <c r="IN925" s="111"/>
      <c r="IO925" s="109"/>
      <c r="IP925" s="109"/>
      <c r="IQ925" s="110"/>
      <c r="IR925" s="109"/>
      <c r="IS925" s="111"/>
      <c r="IT925" s="109"/>
      <c r="IU925" s="109"/>
      <c r="IV925" s="110"/>
    </row>
    <row r="926" spans="1:256" s="123" customFormat="1" ht="14.25">
      <c r="A926" s="134">
        <v>37196</v>
      </c>
      <c r="B926" s="111">
        <v>35.1882</v>
      </c>
      <c r="C926" s="111">
        <f t="shared" si="15"/>
        <v>0.0351882</v>
      </c>
      <c r="D926" s="111">
        <v>21.6708</v>
      </c>
      <c r="E926" s="111">
        <v>23.9669</v>
      </c>
      <c r="F926" s="131"/>
      <c r="G926" s="109"/>
      <c r="H926" s="111"/>
      <c r="I926" s="109"/>
      <c r="J926" s="109"/>
      <c r="K926" s="110"/>
      <c r="L926" s="109"/>
      <c r="M926" s="111"/>
      <c r="N926" s="109"/>
      <c r="O926" s="109"/>
      <c r="P926" s="110"/>
      <c r="Q926" s="109"/>
      <c r="R926" s="111"/>
      <c r="S926" s="109"/>
      <c r="T926" s="109"/>
      <c r="U926" s="110"/>
      <c r="V926" s="109"/>
      <c r="W926" s="111"/>
      <c r="X926" s="109"/>
      <c r="Y926" s="109"/>
      <c r="Z926" s="110"/>
      <c r="AA926" s="109"/>
      <c r="AB926" s="111"/>
      <c r="AC926" s="109"/>
      <c r="AD926" s="109"/>
      <c r="AE926" s="110"/>
      <c r="AF926" s="109"/>
      <c r="AG926" s="111"/>
      <c r="AH926" s="109"/>
      <c r="AI926" s="109"/>
      <c r="AJ926" s="110"/>
      <c r="AK926" s="109"/>
      <c r="AL926" s="111"/>
      <c r="AM926" s="109"/>
      <c r="AN926" s="109"/>
      <c r="AO926" s="110"/>
      <c r="AP926" s="109"/>
      <c r="AQ926" s="111"/>
      <c r="AR926" s="109"/>
      <c r="AS926" s="109"/>
      <c r="AT926" s="110"/>
      <c r="AU926" s="109"/>
      <c r="AV926" s="111"/>
      <c r="AW926" s="109"/>
      <c r="AX926" s="109"/>
      <c r="AY926" s="110"/>
      <c r="AZ926" s="109"/>
      <c r="BA926" s="111"/>
      <c r="BB926" s="109"/>
      <c r="BC926" s="109"/>
      <c r="BD926" s="110"/>
      <c r="BE926" s="109"/>
      <c r="BF926" s="111"/>
      <c r="BG926" s="109"/>
      <c r="BH926" s="109"/>
      <c r="BI926" s="110"/>
      <c r="BJ926" s="109"/>
      <c r="BK926" s="111"/>
      <c r="BL926" s="109"/>
      <c r="BM926" s="109"/>
      <c r="BN926" s="110"/>
      <c r="BO926" s="109"/>
      <c r="BP926" s="111"/>
      <c r="BQ926" s="109"/>
      <c r="BR926" s="109"/>
      <c r="BS926" s="110"/>
      <c r="BT926" s="109"/>
      <c r="BU926" s="111"/>
      <c r="BV926" s="109"/>
      <c r="BW926" s="109"/>
      <c r="BX926" s="110"/>
      <c r="BY926" s="109"/>
      <c r="BZ926" s="111"/>
      <c r="CA926" s="109"/>
      <c r="CB926" s="109"/>
      <c r="CC926" s="110"/>
      <c r="CD926" s="109"/>
      <c r="CE926" s="111"/>
      <c r="CF926" s="109"/>
      <c r="CG926" s="109"/>
      <c r="CH926" s="110"/>
      <c r="CI926" s="109"/>
      <c r="CJ926" s="111"/>
      <c r="CK926" s="109"/>
      <c r="CL926" s="109"/>
      <c r="CM926" s="110"/>
      <c r="CN926" s="109"/>
      <c r="CO926" s="111"/>
      <c r="CP926" s="109"/>
      <c r="CQ926" s="109"/>
      <c r="CR926" s="110"/>
      <c r="CS926" s="109"/>
      <c r="CT926" s="111"/>
      <c r="CU926" s="109"/>
      <c r="CV926" s="109"/>
      <c r="CW926" s="110"/>
      <c r="CX926" s="109"/>
      <c r="CY926" s="111"/>
      <c r="CZ926" s="109"/>
      <c r="DA926" s="109"/>
      <c r="DB926" s="110"/>
      <c r="DC926" s="109"/>
      <c r="DD926" s="111"/>
      <c r="DE926" s="109"/>
      <c r="DF926" s="109"/>
      <c r="DG926" s="110"/>
      <c r="DH926" s="109"/>
      <c r="DI926" s="111"/>
      <c r="DJ926" s="109"/>
      <c r="DK926" s="109"/>
      <c r="DL926" s="110"/>
      <c r="DM926" s="109"/>
      <c r="DN926" s="111"/>
      <c r="DO926" s="109"/>
      <c r="DP926" s="109"/>
      <c r="DQ926" s="110"/>
      <c r="DR926" s="109"/>
      <c r="DS926" s="111"/>
      <c r="DT926" s="109"/>
      <c r="DU926" s="109"/>
      <c r="DV926" s="110"/>
      <c r="DW926" s="109"/>
      <c r="DX926" s="111"/>
      <c r="DY926" s="109"/>
      <c r="DZ926" s="109"/>
      <c r="EA926" s="110"/>
      <c r="EB926" s="109"/>
      <c r="EC926" s="111"/>
      <c r="ED926" s="109"/>
      <c r="EE926" s="109"/>
      <c r="EF926" s="110"/>
      <c r="EG926" s="109"/>
      <c r="EH926" s="111"/>
      <c r="EI926" s="109"/>
      <c r="EJ926" s="109"/>
      <c r="EK926" s="110"/>
      <c r="EL926" s="109"/>
      <c r="EM926" s="111"/>
      <c r="EN926" s="109"/>
      <c r="EO926" s="109"/>
      <c r="EP926" s="110"/>
      <c r="EQ926" s="109"/>
      <c r="ER926" s="111"/>
      <c r="ES926" s="109"/>
      <c r="ET926" s="109"/>
      <c r="EU926" s="110"/>
      <c r="EV926" s="109"/>
      <c r="EW926" s="111"/>
      <c r="EX926" s="109"/>
      <c r="EY926" s="109"/>
      <c r="EZ926" s="110"/>
      <c r="FA926" s="109"/>
      <c r="FB926" s="111"/>
      <c r="FC926" s="109"/>
      <c r="FD926" s="109"/>
      <c r="FE926" s="110"/>
      <c r="FF926" s="109"/>
      <c r="FG926" s="111"/>
      <c r="FH926" s="109"/>
      <c r="FI926" s="109"/>
      <c r="FJ926" s="110"/>
      <c r="FK926" s="109"/>
      <c r="FL926" s="111"/>
      <c r="FM926" s="109"/>
      <c r="FN926" s="109"/>
      <c r="FO926" s="110"/>
      <c r="FP926" s="109"/>
      <c r="FQ926" s="111"/>
      <c r="FR926" s="109"/>
      <c r="FS926" s="109"/>
      <c r="FT926" s="110"/>
      <c r="FU926" s="109"/>
      <c r="FV926" s="111"/>
      <c r="FW926" s="109"/>
      <c r="FX926" s="109"/>
      <c r="FY926" s="110"/>
      <c r="FZ926" s="109"/>
      <c r="GA926" s="111"/>
      <c r="GB926" s="109"/>
      <c r="GC926" s="109"/>
      <c r="GD926" s="110"/>
      <c r="GE926" s="109"/>
      <c r="GF926" s="111"/>
      <c r="GG926" s="109"/>
      <c r="GH926" s="109"/>
      <c r="GI926" s="110"/>
      <c r="GJ926" s="109"/>
      <c r="GK926" s="111"/>
      <c r="GL926" s="109"/>
      <c r="GM926" s="109"/>
      <c r="GN926" s="110"/>
      <c r="GO926" s="109"/>
      <c r="GP926" s="111"/>
      <c r="GQ926" s="109"/>
      <c r="GR926" s="109"/>
      <c r="GS926" s="110"/>
      <c r="GT926" s="109"/>
      <c r="GU926" s="111"/>
      <c r="GV926" s="109"/>
      <c r="GW926" s="109"/>
      <c r="GX926" s="110"/>
      <c r="GY926" s="109"/>
      <c r="GZ926" s="111"/>
      <c r="HA926" s="109"/>
      <c r="HB926" s="109"/>
      <c r="HC926" s="110"/>
      <c r="HD926" s="109"/>
      <c r="HE926" s="111"/>
      <c r="HF926" s="109"/>
      <c r="HG926" s="109"/>
      <c r="HH926" s="110"/>
      <c r="HI926" s="109"/>
      <c r="HJ926" s="111"/>
      <c r="HK926" s="109"/>
      <c r="HL926" s="109"/>
      <c r="HM926" s="110"/>
      <c r="HN926" s="109"/>
      <c r="HO926" s="111"/>
      <c r="HP926" s="109"/>
      <c r="HQ926" s="109"/>
      <c r="HR926" s="110"/>
      <c r="HS926" s="109"/>
      <c r="HT926" s="111"/>
      <c r="HU926" s="109"/>
      <c r="HV926" s="109"/>
      <c r="HW926" s="110"/>
      <c r="HX926" s="109"/>
      <c r="HY926" s="111"/>
      <c r="HZ926" s="109"/>
      <c r="IA926" s="109"/>
      <c r="IB926" s="110"/>
      <c r="IC926" s="109"/>
      <c r="ID926" s="111"/>
      <c r="IE926" s="109"/>
      <c r="IF926" s="109"/>
      <c r="IG926" s="110"/>
      <c r="IH926" s="109"/>
      <c r="II926" s="111"/>
      <c r="IJ926" s="109"/>
      <c r="IK926" s="109"/>
      <c r="IL926" s="110"/>
      <c r="IM926" s="109"/>
      <c r="IN926" s="111"/>
      <c r="IO926" s="109"/>
      <c r="IP926" s="109"/>
      <c r="IQ926" s="110"/>
      <c r="IR926" s="109"/>
      <c r="IS926" s="111"/>
      <c r="IT926" s="109"/>
      <c r="IU926" s="109"/>
      <c r="IV926" s="110"/>
    </row>
    <row r="927" spans="1:256" s="123" customFormat="1" ht="14.25">
      <c r="A927" s="134">
        <v>37197</v>
      </c>
      <c r="B927" s="111">
        <v>38.2247</v>
      </c>
      <c r="C927" s="111">
        <f t="shared" si="15"/>
        <v>0.0382247</v>
      </c>
      <c r="D927" s="111">
        <v>23.6149</v>
      </c>
      <c r="E927" s="111">
        <v>25.959</v>
      </c>
      <c r="F927" s="131"/>
      <c r="G927" s="109"/>
      <c r="H927" s="111"/>
      <c r="I927" s="109"/>
      <c r="J927" s="109"/>
      <c r="K927" s="110"/>
      <c r="L927" s="109"/>
      <c r="M927" s="111"/>
      <c r="N927" s="109"/>
      <c r="O927" s="109"/>
      <c r="P927" s="110"/>
      <c r="Q927" s="109"/>
      <c r="R927" s="111"/>
      <c r="S927" s="109"/>
      <c r="T927" s="109"/>
      <c r="U927" s="110"/>
      <c r="V927" s="109"/>
      <c r="W927" s="111"/>
      <c r="X927" s="109"/>
      <c r="Y927" s="109"/>
      <c r="Z927" s="110"/>
      <c r="AA927" s="109"/>
      <c r="AB927" s="111"/>
      <c r="AC927" s="109"/>
      <c r="AD927" s="109"/>
      <c r="AE927" s="110"/>
      <c r="AF927" s="109"/>
      <c r="AG927" s="111"/>
      <c r="AH927" s="109"/>
      <c r="AI927" s="109"/>
      <c r="AJ927" s="110"/>
      <c r="AK927" s="109"/>
      <c r="AL927" s="111"/>
      <c r="AM927" s="109"/>
      <c r="AN927" s="109"/>
      <c r="AO927" s="110"/>
      <c r="AP927" s="109"/>
      <c r="AQ927" s="111"/>
      <c r="AR927" s="109"/>
      <c r="AS927" s="109"/>
      <c r="AT927" s="110"/>
      <c r="AU927" s="109"/>
      <c r="AV927" s="111"/>
      <c r="AW927" s="109"/>
      <c r="AX927" s="109"/>
      <c r="AY927" s="110"/>
      <c r="AZ927" s="109"/>
      <c r="BA927" s="111"/>
      <c r="BB927" s="109"/>
      <c r="BC927" s="109"/>
      <c r="BD927" s="110"/>
      <c r="BE927" s="109"/>
      <c r="BF927" s="111"/>
      <c r="BG927" s="109"/>
      <c r="BH927" s="109"/>
      <c r="BI927" s="110"/>
      <c r="BJ927" s="109"/>
      <c r="BK927" s="111"/>
      <c r="BL927" s="109"/>
      <c r="BM927" s="109"/>
      <c r="BN927" s="110"/>
      <c r="BO927" s="109"/>
      <c r="BP927" s="111"/>
      <c r="BQ927" s="109"/>
      <c r="BR927" s="109"/>
      <c r="BS927" s="110"/>
      <c r="BT927" s="109"/>
      <c r="BU927" s="111"/>
      <c r="BV927" s="109"/>
      <c r="BW927" s="109"/>
      <c r="BX927" s="110"/>
      <c r="BY927" s="109"/>
      <c r="BZ927" s="111"/>
      <c r="CA927" s="109"/>
      <c r="CB927" s="109"/>
      <c r="CC927" s="110"/>
      <c r="CD927" s="109"/>
      <c r="CE927" s="111"/>
      <c r="CF927" s="109"/>
      <c r="CG927" s="109"/>
      <c r="CH927" s="110"/>
      <c r="CI927" s="109"/>
      <c r="CJ927" s="111"/>
      <c r="CK927" s="109"/>
      <c r="CL927" s="109"/>
      <c r="CM927" s="110"/>
      <c r="CN927" s="109"/>
      <c r="CO927" s="111"/>
      <c r="CP927" s="109"/>
      <c r="CQ927" s="109"/>
      <c r="CR927" s="110"/>
      <c r="CS927" s="109"/>
      <c r="CT927" s="111"/>
      <c r="CU927" s="109"/>
      <c r="CV927" s="109"/>
      <c r="CW927" s="110"/>
      <c r="CX927" s="109"/>
      <c r="CY927" s="111"/>
      <c r="CZ927" s="109"/>
      <c r="DA927" s="109"/>
      <c r="DB927" s="110"/>
      <c r="DC927" s="109"/>
      <c r="DD927" s="111"/>
      <c r="DE927" s="109"/>
      <c r="DF927" s="109"/>
      <c r="DG927" s="110"/>
      <c r="DH927" s="109"/>
      <c r="DI927" s="111"/>
      <c r="DJ927" s="109"/>
      <c r="DK927" s="109"/>
      <c r="DL927" s="110"/>
      <c r="DM927" s="109"/>
      <c r="DN927" s="111"/>
      <c r="DO927" s="109"/>
      <c r="DP927" s="109"/>
      <c r="DQ927" s="110"/>
      <c r="DR927" s="109"/>
      <c r="DS927" s="111"/>
      <c r="DT927" s="109"/>
      <c r="DU927" s="109"/>
      <c r="DV927" s="110"/>
      <c r="DW927" s="109"/>
      <c r="DX927" s="111"/>
      <c r="DY927" s="109"/>
      <c r="DZ927" s="109"/>
      <c r="EA927" s="110"/>
      <c r="EB927" s="109"/>
      <c r="EC927" s="111"/>
      <c r="ED927" s="109"/>
      <c r="EE927" s="109"/>
      <c r="EF927" s="110"/>
      <c r="EG927" s="109"/>
      <c r="EH927" s="111"/>
      <c r="EI927" s="109"/>
      <c r="EJ927" s="109"/>
      <c r="EK927" s="110"/>
      <c r="EL927" s="109"/>
      <c r="EM927" s="111"/>
      <c r="EN927" s="109"/>
      <c r="EO927" s="109"/>
      <c r="EP927" s="110"/>
      <c r="EQ927" s="109"/>
      <c r="ER927" s="111"/>
      <c r="ES927" s="109"/>
      <c r="ET927" s="109"/>
      <c r="EU927" s="110"/>
      <c r="EV927" s="109"/>
      <c r="EW927" s="111"/>
      <c r="EX927" s="109"/>
      <c r="EY927" s="109"/>
      <c r="EZ927" s="110"/>
      <c r="FA927" s="109"/>
      <c r="FB927" s="111"/>
      <c r="FC927" s="109"/>
      <c r="FD927" s="109"/>
      <c r="FE927" s="110"/>
      <c r="FF927" s="109"/>
      <c r="FG927" s="111"/>
      <c r="FH927" s="109"/>
      <c r="FI927" s="109"/>
      <c r="FJ927" s="110"/>
      <c r="FK927" s="109"/>
      <c r="FL927" s="111"/>
      <c r="FM927" s="109"/>
      <c r="FN927" s="109"/>
      <c r="FO927" s="110"/>
      <c r="FP927" s="109"/>
      <c r="FQ927" s="111"/>
      <c r="FR927" s="109"/>
      <c r="FS927" s="109"/>
      <c r="FT927" s="110"/>
      <c r="FU927" s="109"/>
      <c r="FV927" s="111"/>
      <c r="FW927" s="109"/>
      <c r="FX927" s="109"/>
      <c r="FY927" s="110"/>
      <c r="FZ927" s="109"/>
      <c r="GA927" s="111"/>
      <c r="GB927" s="109"/>
      <c r="GC927" s="109"/>
      <c r="GD927" s="110"/>
      <c r="GE927" s="109"/>
      <c r="GF927" s="111"/>
      <c r="GG927" s="109"/>
      <c r="GH927" s="109"/>
      <c r="GI927" s="110"/>
      <c r="GJ927" s="109"/>
      <c r="GK927" s="111"/>
      <c r="GL927" s="109"/>
      <c r="GM927" s="109"/>
      <c r="GN927" s="110"/>
      <c r="GO927" s="109"/>
      <c r="GP927" s="111"/>
      <c r="GQ927" s="109"/>
      <c r="GR927" s="109"/>
      <c r="GS927" s="110"/>
      <c r="GT927" s="109"/>
      <c r="GU927" s="111"/>
      <c r="GV927" s="109"/>
      <c r="GW927" s="109"/>
      <c r="GX927" s="110"/>
      <c r="GY927" s="109"/>
      <c r="GZ927" s="111"/>
      <c r="HA927" s="109"/>
      <c r="HB927" s="109"/>
      <c r="HC927" s="110"/>
      <c r="HD927" s="109"/>
      <c r="HE927" s="111"/>
      <c r="HF927" s="109"/>
      <c r="HG927" s="109"/>
      <c r="HH927" s="110"/>
      <c r="HI927" s="109"/>
      <c r="HJ927" s="111"/>
      <c r="HK927" s="109"/>
      <c r="HL927" s="109"/>
      <c r="HM927" s="110"/>
      <c r="HN927" s="109"/>
      <c r="HO927" s="111"/>
      <c r="HP927" s="109"/>
      <c r="HQ927" s="109"/>
      <c r="HR927" s="110"/>
      <c r="HS927" s="109"/>
      <c r="HT927" s="111"/>
      <c r="HU927" s="109"/>
      <c r="HV927" s="109"/>
      <c r="HW927" s="110"/>
      <c r="HX927" s="109"/>
      <c r="HY927" s="111"/>
      <c r="HZ927" s="109"/>
      <c r="IA927" s="109"/>
      <c r="IB927" s="110"/>
      <c r="IC927" s="109"/>
      <c r="ID927" s="111"/>
      <c r="IE927" s="109"/>
      <c r="IF927" s="109"/>
      <c r="IG927" s="110"/>
      <c r="IH927" s="109"/>
      <c r="II927" s="111"/>
      <c r="IJ927" s="109"/>
      <c r="IK927" s="109"/>
      <c r="IL927" s="110"/>
      <c r="IM927" s="109"/>
      <c r="IN927" s="111"/>
      <c r="IO927" s="109"/>
      <c r="IP927" s="109"/>
      <c r="IQ927" s="110"/>
      <c r="IR927" s="109"/>
      <c r="IS927" s="111"/>
      <c r="IT927" s="109"/>
      <c r="IU927" s="109"/>
      <c r="IV927" s="110"/>
    </row>
    <row r="928" spans="1:256" s="123" customFormat="1" ht="14.25">
      <c r="A928" s="134">
        <v>37200</v>
      </c>
      <c r="B928" s="111">
        <v>58.0578</v>
      </c>
      <c r="C928" s="111">
        <f t="shared" si="15"/>
        <v>0.0580578</v>
      </c>
      <c r="D928" s="111">
        <v>35.6673</v>
      </c>
      <c r="E928" s="111">
        <v>39.3852</v>
      </c>
      <c r="F928" s="131"/>
      <c r="G928" s="109"/>
      <c r="H928" s="111"/>
      <c r="I928" s="109"/>
      <c r="J928" s="109"/>
      <c r="K928" s="110"/>
      <c r="L928" s="109"/>
      <c r="M928" s="111"/>
      <c r="N928" s="109"/>
      <c r="O928" s="109"/>
      <c r="P928" s="110"/>
      <c r="Q928" s="109"/>
      <c r="R928" s="111"/>
      <c r="S928" s="109"/>
      <c r="T928" s="109"/>
      <c r="U928" s="110"/>
      <c r="V928" s="109"/>
      <c r="W928" s="111"/>
      <c r="X928" s="109"/>
      <c r="Y928" s="109"/>
      <c r="Z928" s="110"/>
      <c r="AA928" s="109"/>
      <c r="AB928" s="111"/>
      <c r="AC928" s="109"/>
      <c r="AD928" s="109"/>
      <c r="AE928" s="110"/>
      <c r="AF928" s="109"/>
      <c r="AG928" s="111"/>
      <c r="AH928" s="109"/>
      <c r="AI928" s="109"/>
      <c r="AJ928" s="110"/>
      <c r="AK928" s="109"/>
      <c r="AL928" s="111"/>
      <c r="AM928" s="109"/>
      <c r="AN928" s="109"/>
      <c r="AO928" s="110"/>
      <c r="AP928" s="109"/>
      <c r="AQ928" s="111"/>
      <c r="AR928" s="109"/>
      <c r="AS928" s="109"/>
      <c r="AT928" s="110"/>
      <c r="AU928" s="109"/>
      <c r="AV928" s="111"/>
      <c r="AW928" s="109"/>
      <c r="AX928" s="109"/>
      <c r="AY928" s="110"/>
      <c r="AZ928" s="109"/>
      <c r="BA928" s="111"/>
      <c r="BB928" s="109"/>
      <c r="BC928" s="109"/>
      <c r="BD928" s="110"/>
      <c r="BE928" s="109"/>
      <c r="BF928" s="111"/>
      <c r="BG928" s="109"/>
      <c r="BH928" s="109"/>
      <c r="BI928" s="110"/>
      <c r="BJ928" s="109"/>
      <c r="BK928" s="111"/>
      <c r="BL928" s="109"/>
      <c r="BM928" s="109"/>
      <c r="BN928" s="110"/>
      <c r="BO928" s="109"/>
      <c r="BP928" s="111"/>
      <c r="BQ928" s="109"/>
      <c r="BR928" s="109"/>
      <c r="BS928" s="110"/>
      <c r="BT928" s="109"/>
      <c r="BU928" s="111"/>
      <c r="BV928" s="109"/>
      <c r="BW928" s="109"/>
      <c r="BX928" s="110"/>
      <c r="BY928" s="109"/>
      <c r="BZ928" s="111"/>
      <c r="CA928" s="109"/>
      <c r="CB928" s="109"/>
      <c r="CC928" s="110"/>
      <c r="CD928" s="109"/>
      <c r="CE928" s="111"/>
      <c r="CF928" s="109"/>
      <c r="CG928" s="109"/>
      <c r="CH928" s="110"/>
      <c r="CI928" s="109"/>
      <c r="CJ928" s="111"/>
      <c r="CK928" s="109"/>
      <c r="CL928" s="109"/>
      <c r="CM928" s="110"/>
      <c r="CN928" s="109"/>
      <c r="CO928" s="111"/>
      <c r="CP928" s="109"/>
      <c r="CQ928" s="109"/>
      <c r="CR928" s="110"/>
      <c r="CS928" s="109"/>
      <c r="CT928" s="111"/>
      <c r="CU928" s="109"/>
      <c r="CV928" s="109"/>
      <c r="CW928" s="110"/>
      <c r="CX928" s="109"/>
      <c r="CY928" s="111"/>
      <c r="CZ928" s="109"/>
      <c r="DA928" s="109"/>
      <c r="DB928" s="110"/>
      <c r="DC928" s="109"/>
      <c r="DD928" s="111"/>
      <c r="DE928" s="109"/>
      <c r="DF928" s="109"/>
      <c r="DG928" s="110"/>
      <c r="DH928" s="109"/>
      <c r="DI928" s="111"/>
      <c r="DJ928" s="109"/>
      <c r="DK928" s="109"/>
      <c r="DL928" s="110"/>
      <c r="DM928" s="109"/>
      <c r="DN928" s="111"/>
      <c r="DO928" s="109"/>
      <c r="DP928" s="109"/>
      <c r="DQ928" s="110"/>
      <c r="DR928" s="109"/>
      <c r="DS928" s="111"/>
      <c r="DT928" s="109"/>
      <c r="DU928" s="109"/>
      <c r="DV928" s="110"/>
      <c r="DW928" s="109"/>
      <c r="DX928" s="111"/>
      <c r="DY928" s="109"/>
      <c r="DZ928" s="109"/>
      <c r="EA928" s="110"/>
      <c r="EB928" s="109"/>
      <c r="EC928" s="111"/>
      <c r="ED928" s="109"/>
      <c r="EE928" s="109"/>
      <c r="EF928" s="110"/>
      <c r="EG928" s="109"/>
      <c r="EH928" s="111"/>
      <c r="EI928" s="109"/>
      <c r="EJ928" s="109"/>
      <c r="EK928" s="110"/>
      <c r="EL928" s="109"/>
      <c r="EM928" s="111"/>
      <c r="EN928" s="109"/>
      <c r="EO928" s="109"/>
      <c r="EP928" s="110"/>
      <c r="EQ928" s="109"/>
      <c r="ER928" s="111"/>
      <c r="ES928" s="109"/>
      <c r="ET928" s="109"/>
      <c r="EU928" s="110"/>
      <c r="EV928" s="109"/>
      <c r="EW928" s="111"/>
      <c r="EX928" s="109"/>
      <c r="EY928" s="109"/>
      <c r="EZ928" s="110"/>
      <c r="FA928" s="109"/>
      <c r="FB928" s="111"/>
      <c r="FC928" s="109"/>
      <c r="FD928" s="109"/>
      <c r="FE928" s="110"/>
      <c r="FF928" s="109"/>
      <c r="FG928" s="111"/>
      <c r="FH928" s="109"/>
      <c r="FI928" s="109"/>
      <c r="FJ928" s="110"/>
      <c r="FK928" s="109"/>
      <c r="FL928" s="111"/>
      <c r="FM928" s="109"/>
      <c r="FN928" s="109"/>
      <c r="FO928" s="110"/>
      <c r="FP928" s="109"/>
      <c r="FQ928" s="111"/>
      <c r="FR928" s="109"/>
      <c r="FS928" s="109"/>
      <c r="FT928" s="110"/>
      <c r="FU928" s="109"/>
      <c r="FV928" s="111"/>
      <c r="FW928" s="109"/>
      <c r="FX928" s="109"/>
      <c r="FY928" s="110"/>
      <c r="FZ928" s="109"/>
      <c r="GA928" s="111"/>
      <c r="GB928" s="109"/>
      <c r="GC928" s="109"/>
      <c r="GD928" s="110"/>
      <c r="GE928" s="109"/>
      <c r="GF928" s="111"/>
      <c r="GG928" s="109"/>
      <c r="GH928" s="109"/>
      <c r="GI928" s="110"/>
      <c r="GJ928" s="109"/>
      <c r="GK928" s="111"/>
      <c r="GL928" s="109"/>
      <c r="GM928" s="109"/>
      <c r="GN928" s="110"/>
      <c r="GO928" s="109"/>
      <c r="GP928" s="111"/>
      <c r="GQ928" s="109"/>
      <c r="GR928" s="109"/>
      <c r="GS928" s="110"/>
      <c r="GT928" s="109"/>
      <c r="GU928" s="111"/>
      <c r="GV928" s="109"/>
      <c r="GW928" s="109"/>
      <c r="GX928" s="110"/>
      <c r="GY928" s="109"/>
      <c r="GZ928" s="111"/>
      <c r="HA928" s="109"/>
      <c r="HB928" s="109"/>
      <c r="HC928" s="110"/>
      <c r="HD928" s="109"/>
      <c r="HE928" s="111"/>
      <c r="HF928" s="109"/>
      <c r="HG928" s="109"/>
      <c r="HH928" s="110"/>
      <c r="HI928" s="109"/>
      <c r="HJ928" s="111"/>
      <c r="HK928" s="109"/>
      <c r="HL928" s="109"/>
      <c r="HM928" s="110"/>
      <c r="HN928" s="109"/>
      <c r="HO928" s="111"/>
      <c r="HP928" s="109"/>
      <c r="HQ928" s="109"/>
      <c r="HR928" s="110"/>
      <c r="HS928" s="109"/>
      <c r="HT928" s="111"/>
      <c r="HU928" s="109"/>
      <c r="HV928" s="109"/>
      <c r="HW928" s="110"/>
      <c r="HX928" s="109"/>
      <c r="HY928" s="111"/>
      <c r="HZ928" s="109"/>
      <c r="IA928" s="109"/>
      <c r="IB928" s="110"/>
      <c r="IC928" s="109"/>
      <c r="ID928" s="111"/>
      <c r="IE928" s="109"/>
      <c r="IF928" s="109"/>
      <c r="IG928" s="110"/>
      <c r="IH928" s="109"/>
      <c r="II928" s="111"/>
      <c r="IJ928" s="109"/>
      <c r="IK928" s="109"/>
      <c r="IL928" s="110"/>
      <c r="IM928" s="109"/>
      <c r="IN928" s="111"/>
      <c r="IO928" s="109"/>
      <c r="IP928" s="109"/>
      <c r="IQ928" s="110"/>
      <c r="IR928" s="109"/>
      <c r="IS928" s="111"/>
      <c r="IT928" s="109"/>
      <c r="IU928" s="109"/>
      <c r="IV928" s="110"/>
    </row>
    <row r="929" spans="1:256" s="123" customFormat="1" ht="14.25">
      <c r="A929" s="134">
        <v>37201</v>
      </c>
      <c r="B929" s="111">
        <v>57.0219</v>
      </c>
      <c r="C929" s="111">
        <f t="shared" si="15"/>
        <v>0.0570219</v>
      </c>
      <c r="D929" s="111">
        <v>34.7293</v>
      </c>
      <c r="E929" s="111">
        <v>38.7561</v>
      </c>
      <c r="F929" s="131"/>
      <c r="G929" s="109"/>
      <c r="H929" s="111"/>
      <c r="I929" s="109"/>
      <c r="J929" s="109"/>
      <c r="K929" s="110"/>
      <c r="L929" s="109"/>
      <c r="M929" s="111"/>
      <c r="N929" s="109"/>
      <c r="O929" s="109"/>
      <c r="P929" s="110"/>
      <c r="Q929" s="109"/>
      <c r="R929" s="111"/>
      <c r="S929" s="109"/>
      <c r="T929" s="109"/>
      <c r="U929" s="110"/>
      <c r="V929" s="109"/>
      <c r="W929" s="111"/>
      <c r="X929" s="109"/>
      <c r="Y929" s="109"/>
      <c r="Z929" s="110"/>
      <c r="AA929" s="109"/>
      <c r="AB929" s="111"/>
      <c r="AC929" s="109"/>
      <c r="AD929" s="109"/>
      <c r="AE929" s="110"/>
      <c r="AF929" s="109"/>
      <c r="AG929" s="111"/>
      <c r="AH929" s="109"/>
      <c r="AI929" s="109"/>
      <c r="AJ929" s="110"/>
      <c r="AK929" s="109"/>
      <c r="AL929" s="111"/>
      <c r="AM929" s="109"/>
      <c r="AN929" s="109"/>
      <c r="AO929" s="110"/>
      <c r="AP929" s="109"/>
      <c r="AQ929" s="111"/>
      <c r="AR929" s="109"/>
      <c r="AS929" s="109"/>
      <c r="AT929" s="110"/>
      <c r="AU929" s="109"/>
      <c r="AV929" s="111"/>
      <c r="AW929" s="109"/>
      <c r="AX929" s="109"/>
      <c r="AY929" s="110"/>
      <c r="AZ929" s="109"/>
      <c r="BA929" s="111"/>
      <c r="BB929" s="109"/>
      <c r="BC929" s="109"/>
      <c r="BD929" s="110"/>
      <c r="BE929" s="109"/>
      <c r="BF929" s="111"/>
      <c r="BG929" s="109"/>
      <c r="BH929" s="109"/>
      <c r="BI929" s="110"/>
      <c r="BJ929" s="109"/>
      <c r="BK929" s="111"/>
      <c r="BL929" s="109"/>
      <c r="BM929" s="109"/>
      <c r="BN929" s="110"/>
      <c r="BO929" s="109"/>
      <c r="BP929" s="111"/>
      <c r="BQ929" s="109"/>
      <c r="BR929" s="109"/>
      <c r="BS929" s="110"/>
      <c r="BT929" s="109"/>
      <c r="BU929" s="111"/>
      <c r="BV929" s="109"/>
      <c r="BW929" s="109"/>
      <c r="BX929" s="110"/>
      <c r="BY929" s="109"/>
      <c r="BZ929" s="111"/>
      <c r="CA929" s="109"/>
      <c r="CB929" s="109"/>
      <c r="CC929" s="110"/>
      <c r="CD929" s="109"/>
      <c r="CE929" s="111"/>
      <c r="CF929" s="109"/>
      <c r="CG929" s="109"/>
      <c r="CH929" s="110"/>
      <c r="CI929" s="109"/>
      <c r="CJ929" s="111"/>
      <c r="CK929" s="109"/>
      <c r="CL929" s="109"/>
      <c r="CM929" s="110"/>
      <c r="CN929" s="109"/>
      <c r="CO929" s="111"/>
      <c r="CP929" s="109"/>
      <c r="CQ929" s="109"/>
      <c r="CR929" s="110"/>
      <c r="CS929" s="109"/>
      <c r="CT929" s="111"/>
      <c r="CU929" s="109"/>
      <c r="CV929" s="109"/>
      <c r="CW929" s="110"/>
      <c r="CX929" s="109"/>
      <c r="CY929" s="111"/>
      <c r="CZ929" s="109"/>
      <c r="DA929" s="109"/>
      <c r="DB929" s="110"/>
      <c r="DC929" s="109"/>
      <c r="DD929" s="111"/>
      <c r="DE929" s="109"/>
      <c r="DF929" s="109"/>
      <c r="DG929" s="110"/>
      <c r="DH929" s="109"/>
      <c r="DI929" s="111"/>
      <c r="DJ929" s="109"/>
      <c r="DK929" s="109"/>
      <c r="DL929" s="110"/>
      <c r="DM929" s="109"/>
      <c r="DN929" s="111"/>
      <c r="DO929" s="109"/>
      <c r="DP929" s="109"/>
      <c r="DQ929" s="110"/>
      <c r="DR929" s="109"/>
      <c r="DS929" s="111"/>
      <c r="DT929" s="109"/>
      <c r="DU929" s="109"/>
      <c r="DV929" s="110"/>
      <c r="DW929" s="109"/>
      <c r="DX929" s="111"/>
      <c r="DY929" s="109"/>
      <c r="DZ929" s="109"/>
      <c r="EA929" s="110"/>
      <c r="EB929" s="109"/>
      <c r="EC929" s="111"/>
      <c r="ED929" s="109"/>
      <c r="EE929" s="109"/>
      <c r="EF929" s="110"/>
      <c r="EG929" s="109"/>
      <c r="EH929" s="111"/>
      <c r="EI929" s="109"/>
      <c r="EJ929" s="109"/>
      <c r="EK929" s="110"/>
      <c r="EL929" s="109"/>
      <c r="EM929" s="111"/>
      <c r="EN929" s="109"/>
      <c r="EO929" s="109"/>
      <c r="EP929" s="110"/>
      <c r="EQ929" s="109"/>
      <c r="ER929" s="111"/>
      <c r="ES929" s="109"/>
      <c r="ET929" s="109"/>
      <c r="EU929" s="110"/>
      <c r="EV929" s="109"/>
      <c r="EW929" s="111"/>
      <c r="EX929" s="109"/>
      <c r="EY929" s="109"/>
      <c r="EZ929" s="110"/>
      <c r="FA929" s="109"/>
      <c r="FB929" s="111"/>
      <c r="FC929" s="109"/>
      <c r="FD929" s="109"/>
      <c r="FE929" s="110"/>
      <c r="FF929" s="109"/>
      <c r="FG929" s="111"/>
      <c r="FH929" s="109"/>
      <c r="FI929" s="109"/>
      <c r="FJ929" s="110"/>
      <c r="FK929" s="109"/>
      <c r="FL929" s="111"/>
      <c r="FM929" s="109"/>
      <c r="FN929" s="109"/>
      <c r="FO929" s="110"/>
      <c r="FP929" s="109"/>
      <c r="FQ929" s="111"/>
      <c r="FR929" s="109"/>
      <c r="FS929" s="109"/>
      <c r="FT929" s="110"/>
      <c r="FU929" s="109"/>
      <c r="FV929" s="111"/>
      <c r="FW929" s="109"/>
      <c r="FX929" s="109"/>
      <c r="FY929" s="110"/>
      <c r="FZ929" s="109"/>
      <c r="GA929" s="111"/>
      <c r="GB929" s="109"/>
      <c r="GC929" s="109"/>
      <c r="GD929" s="110"/>
      <c r="GE929" s="109"/>
      <c r="GF929" s="111"/>
      <c r="GG929" s="109"/>
      <c r="GH929" s="109"/>
      <c r="GI929" s="110"/>
      <c r="GJ929" s="109"/>
      <c r="GK929" s="111"/>
      <c r="GL929" s="109"/>
      <c r="GM929" s="109"/>
      <c r="GN929" s="110"/>
      <c r="GO929" s="109"/>
      <c r="GP929" s="111"/>
      <c r="GQ929" s="109"/>
      <c r="GR929" s="109"/>
      <c r="GS929" s="110"/>
      <c r="GT929" s="109"/>
      <c r="GU929" s="111"/>
      <c r="GV929" s="109"/>
      <c r="GW929" s="109"/>
      <c r="GX929" s="110"/>
      <c r="GY929" s="109"/>
      <c r="GZ929" s="111"/>
      <c r="HA929" s="109"/>
      <c r="HB929" s="109"/>
      <c r="HC929" s="110"/>
      <c r="HD929" s="109"/>
      <c r="HE929" s="111"/>
      <c r="HF929" s="109"/>
      <c r="HG929" s="109"/>
      <c r="HH929" s="110"/>
      <c r="HI929" s="109"/>
      <c r="HJ929" s="111"/>
      <c r="HK929" s="109"/>
      <c r="HL929" s="109"/>
      <c r="HM929" s="110"/>
      <c r="HN929" s="109"/>
      <c r="HO929" s="111"/>
      <c r="HP929" s="109"/>
      <c r="HQ929" s="109"/>
      <c r="HR929" s="110"/>
      <c r="HS929" s="109"/>
      <c r="HT929" s="111"/>
      <c r="HU929" s="109"/>
      <c r="HV929" s="109"/>
      <c r="HW929" s="110"/>
      <c r="HX929" s="109"/>
      <c r="HY929" s="111"/>
      <c r="HZ929" s="109"/>
      <c r="IA929" s="109"/>
      <c r="IB929" s="110"/>
      <c r="IC929" s="109"/>
      <c r="ID929" s="111"/>
      <c r="IE929" s="109"/>
      <c r="IF929" s="109"/>
      <c r="IG929" s="110"/>
      <c r="IH929" s="109"/>
      <c r="II929" s="111"/>
      <c r="IJ929" s="109"/>
      <c r="IK929" s="109"/>
      <c r="IL929" s="110"/>
      <c r="IM929" s="109"/>
      <c r="IN929" s="111"/>
      <c r="IO929" s="109"/>
      <c r="IP929" s="109"/>
      <c r="IQ929" s="110"/>
      <c r="IR929" s="109"/>
      <c r="IS929" s="111"/>
      <c r="IT929" s="109"/>
      <c r="IU929" s="109"/>
      <c r="IV929" s="110"/>
    </row>
    <row r="930" spans="1:256" s="123" customFormat="1" ht="14.25">
      <c r="A930" s="134">
        <v>37202</v>
      </c>
      <c r="B930" s="111">
        <v>54.3326</v>
      </c>
      <c r="C930" s="111">
        <f t="shared" si="15"/>
        <v>0.0543326</v>
      </c>
      <c r="D930" s="111">
        <v>33.087</v>
      </c>
      <c r="E930" s="111">
        <v>36.9233</v>
      </c>
      <c r="F930" s="131"/>
      <c r="G930" s="109"/>
      <c r="H930" s="111"/>
      <c r="I930" s="109"/>
      <c r="J930" s="109"/>
      <c r="K930" s="110"/>
      <c r="L930" s="109"/>
      <c r="M930" s="111"/>
      <c r="N930" s="109"/>
      <c r="O930" s="109"/>
      <c r="P930" s="110"/>
      <c r="Q930" s="109"/>
      <c r="R930" s="111"/>
      <c r="S930" s="109"/>
      <c r="T930" s="109"/>
      <c r="U930" s="110"/>
      <c r="V930" s="109"/>
      <c r="W930" s="111"/>
      <c r="X930" s="109"/>
      <c r="Y930" s="109"/>
      <c r="Z930" s="110"/>
      <c r="AA930" s="109"/>
      <c r="AB930" s="111"/>
      <c r="AC930" s="109"/>
      <c r="AD930" s="109"/>
      <c r="AE930" s="110"/>
      <c r="AF930" s="109"/>
      <c r="AG930" s="111"/>
      <c r="AH930" s="109"/>
      <c r="AI930" s="109"/>
      <c r="AJ930" s="110"/>
      <c r="AK930" s="109"/>
      <c r="AL930" s="111"/>
      <c r="AM930" s="109"/>
      <c r="AN930" s="109"/>
      <c r="AO930" s="110"/>
      <c r="AP930" s="109"/>
      <c r="AQ930" s="111"/>
      <c r="AR930" s="109"/>
      <c r="AS930" s="109"/>
      <c r="AT930" s="110"/>
      <c r="AU930" s="109"/>
      <c r="AV930" s="111"/>
      <c r="AW930" s="109"/>
      <c r="AX930" s="109"/>
      <c r="AY930" s="110"/>
      <c r="AZ930" s="109"/>
      <c r="BA930" s="111"/>
      <c r="BB930" s="109"/>
      <c r="BC930" s="109"/>
      <c r="BD930" s="110"/>
      <c r="BE930" s="109"/>
      <c r="BF930" s="111"/>
      <c r="BG930" s="109"/>
      <c r="BH930" s="109"/>
      <c r="BI930" s="110"/>
      <c r="BJ930" s="109"/>
      <c r="BK930" s="111"/>
      <c r="BL930" s="109"/>
      <c r="BM930" s="109"/>
      <c r="BN930" s="110"/>
      <c r="BO930" s="109"/>
      <c r="BP930" s="111"/>
      <c r="BQ930" s="109"/>
      <c r="BR930" s="109"/>
      <c r="BS930" s="110"/>
      <c r="BT930" s="109"/>
      <c r="BU930" s="111"/>
      <c r="BV930" s="109"/>
      <c r="BW930" s="109"/>
      <c r="BX930" s="110"/>
      <c r="BY930" s="109"/>
      <c r="BZ930" s="111"/>
      <c r="CA930" s="109"/>
      <c r="CB930" s="109"/>
      <c r="CC930" s="110"/>
      <c r="CD930" s="109"/>
      <c r="CE930" s="111"/>
      <c r="CF930" s="109"/>
      <c r="CG930" s="109"/>
      <c r="CH930" s="110"/>
      <c r="CI930" s="109"/>
      <c r="CJ930" s="111"/>
      <c r="CK930" s="109"/>
      <c r="CL930" s="109"/>
      <c r="CM930" s="110"/>
      <c r="CN930" s="109"/>
      <c r="CO930" s="111"/>
      <c r="CP930" s="109"/>
      <c r="CQ930" s="109"/>
      <c r="CR930" s="110"/>
      <c r="CS930" s="109"/>
      <c r="CT930" s="111"/>
      <c r="CU930" s="109"/>
      <c r="CV930" s="109"/>
      <c r="CW930" s="110"/>
      <c r="CX930" s="109"/>
      <c r="CY930" s="111"/>
      <c r="CZ930" s="109"/>
      <c r="DA930" s="109"/>
      <c r="DB930" s="110"/>
      <c r="DC930" s="109"/>
      <c r="DD930" s="111"/>
      <c r="DE930" s="109"/>
      <c r="DF930" s="109"/>
      <c r="DG930" s="110"/>
      <c r="DH930" s="109"/>
      <c r="DI930" s="111"/>
      <c r="DJ930" s="109"/>
      <c r="DK930" s="109"/>
      <c r="DL930" s="110"/>
      <c r="DM930" s="109"/>
      <c r="DN930" s="111"/>
      <c r="DO930" s="109"/>
      <c r="DP930" s="109"/>
      <c r="DQ930" s="110"/>
      <c r="DR930" s="109"/>
      <c r="DS930" s="111"/>
      <c r="DT930" s="109"/>
      <c r="DU930" s="109"/>
      <c r="DV930" s="110"/>
      <c r="DW930" s="109"/>
      <c r="DX930" s="111"/>
      <c r="DY930" s="109"/>
      <c r="DZ930" s="109"/>
      <c r="EA930" s="110"/>
      <c r="EB930" s="109"/>
      <c r="EC930" s="111"/>
      <c r="ED930" s="109"/>
      <c r="EE930" s="109"/>
      <c r="EF930" s="110"/>
      <c r="EG930" s="109"/>
      <c r="EH930" s="111"/>
      <c r="EI930" s="109"/>
      <c r="EJ930" s="109"/>
      <c r="EK930" s="110"/>
      <c r="EL930" s="109"/>
      <c r="EM930" s="111"/>
      <c r="EN930" s="109"/>
      <c r="EO930" s="109"/>
      <c r="EP930" s="110"/>
      <c r="EQ930" s="109"/>
      <c r="ER930" s="111"/>
      <c r="ES930" s="109"/>
      <c r="ET930" s="109"/>
      <c r="EU930" s="110"/>
      <c r="EV930" s="109"/>
      <c r="EW930" s="111"/>
      <c r="EX930" s="109"/>
      <c r="EY930" s="109"/>
      <c r="EZ930" s="110"/>
      <c r="FA930" s="109"/>
      <c r="FB930" s="111"/>
      <c r="FC930" s="109"/>
      <c r="FD930" s="109"/>
      <c r="FE930" s="110"/>
      <c r="FF930" s="109"/>
      <c r="FG930" s="111"/>
      <c r="FH930" s="109"/>
      <c r="FI930" s="109"/>
      <c r="FJ930" s="110"/>
      <c r="FK930" s="109"/>
      <c r="FL930" s="111"/>
      <c r="FM930" s="109"/>
      <c r="FN930" s="109"/>
      <c r="FO930" s="110"/>
      <c r="FP930" s="109"/>
      <c r="FQ930" s="111"/>
      <c r="FR930" s="109"/>
      <c r="FS930" s="109"/>
      <c r="FT930" s="110"/>
      <c r="FU930" s="109"/>
      <c r="FV930" s="111"/>
      <c r="FW930" s="109"/>
      <c r="FX930" s="109"/>
      <c r="FY930" s="110"/>
      <c r="FZ930" s="109"/>
      <c r="GA930" s="111"/>
      <c r="GB930" s="109"/>
      <c r="GC930" s="109"/>
      <c r="GD930" s="110"/>
      <c r="GE930" s="109"/>
      <c r="GF930" s="111"/>
      <c r="GG930" s="109"/>
      <c r="GH930" s="109"/>
      <c r="GI930" s="110"/>
      <c r="GJ930" s="109"/>
      <c r="GK930" s="111"/>
      <c r="GL930" s="109"/>
      <c r="GM930" s="109"/>
      <c r="GN930" s="110"/>
      <c r="GO930" s="109"/>
      <c r="GP930" s="111"/>
      <c r="GQ930" s="109"/>
      <c r="GR930" s="109"/>
      <c r="GS930" s="110"/>
      <c r="GT930" s="109"/>
      <c r="GU930" s="111"/>
      <c r="GV930" s="109"/>
      <c r="GW930" s="109"/>
      <c r="GX930" s="110"/>
      <c r="GY930" s="109"/>
      <c r="GZ930" s="111"/>
      <c r="HA930" s="109"/>
      <c r="HB930" s="109"/>
      <c r="HC930" s="110"/>
      <c r="HD930" s="109"/>
      <c r="HE930" s="111"/>
      <c r="HF930" s="109"/>
      <c r="HG930" s="109"/>
      <c r="HH930" s="110"/>
      <c r="HI930" s="109"/>
      <c r="HJ930" s="111"/>
      <c r="HK930" s="109"/>
      <c r="HL930" s="109"/>
      <c r="HM930" s="110"/>
      <c r="HN930" s="109"/>
      <c r="HO930" s="111"/>
      <c r="HP930" s="109"/>
      <c r="HQ930" s="109"/>
      <c r="HR930" s="110"/>
      <c r="HS930" s="109"/>
      <c r="HT930" s="111"/>
      <c r="HU930" s="109"/>
      <c r="HV930" s="109"/>
      <c r="HW930" s="110"/>
      <c r="HX930" s="109"/>
      <c r="HY930" s="111"/>
      <c r="HZ930" s="109"/>
      <c r="IA930" s="109"/>
      <c r="IB930" s="110"/>
      <c r="IC930" s="109"/>
      <c r="ID930" s="111"/>
      <c r="IE930" s="109"/>
      <c r="IF930" s="109"/>
      <c r="IG930" s="110"/>
      <c r="IH930" s="109"/>
      <c r="II930" s="111"/>
      <c r="IJ930" s="109"/>
      <c r="IK930" s="109"/>
      <c r="IL930" s="110"/>
      <c r="IM930" s="109"/>
      <c r="IN930" s="111"/>
      <c r="IO930" s="109"/>
      <c r="IP930" s="109"/>
      <c r="IQ930" s="110"/>
      <c r="IR930" s="109"/>
      <c r="IS930" s="111"/>
      <c r="IT930" s="109"/>
      <c r="IU930" s="109"/>
      <c r="IV930" s="110"/>
    </row>
    <row r="931" spans="1:256" s="123" customFormat="1" ht="14.25">
      <c r="A931" s="134">
        <v>37203</v>
      </c>
      <c r="B931" s="111">
        <v>56.035</v>
      </c>
      <c r="C931" s="111">
        <f t="shared" si="15"/>
        <v>0.056034999999999995</v>
      </c>
      <c r="D931" s="111">
        <v>34.3512</v>
      </c>
      <c r="E931" s="111">
        <v>38.1087</v>
      </c>
      <c r="F931" s="131"/>
      <c r="G931" s="109"/>
      <c r="H931" s="111"/>
      <c r="I931" s="109"/>
      <c r="J931" s="109"/>
      <c r="K931" s="110"/>
      <c r="L931" s="109"/>
      <c r="M931" s="111"/>
      <c r="N931" s="109"/>
      <c r="O931" s="109"/>
      <c r="P931" s="110"/>
      <c r="Q931" s="109"/>
      <c r="R931" s="111"/>
      <c r="S931" s="109"/>
      <c r="T931" s="109"/>
      <c r="U931" s="110"/>
      <c r="V931" s="109"/>
      <c r="W931" s="111"/>
      <c r="X931" s="109"/>
      <c r="Y931" s="109"/>
      <c r="Z931" s="110"/>
      <c r="AA931" s="109"/>
      <c r="AB931" s="111"/>
      <c r="AC931" s="109"/>
      <c r="AD931" s="109"/>
      <c r="AE931" s="110"/>
      <c r="AF931" s="109"/>
      <c r="AG931" s="111"/>
      <c r="AH931" s="109"/>
      <c r="AI931" s="109"/>
      <c r="AJ931" s="110"/>
      <c r="AK931" s="109"/>
      <c r="AL931" s="111"/>
      <c r="AM931" s="109"/>
      <c r="AN931" s="109"/>
      <c r="AO931" s="110"/>
      <c r="AP931" s="109"/>
      <c r="AQ931" s="111"/>
      <c r="AR931" s="109"/>
      <c r="AS931" s="109"/>
      <c r="AT931" s="110"/>
      <c r="AU931" s="109"/>
      <c r="AV931" s="111"/>
      <c r="AW931" s="109"/>
      <c r="AX931" s="109"/>
      <c r="AY931" s="110"/>
      <c r="AZ931" s="109"/>
      <c r="BA931" s="111"/>
      <c r="BB931" s="109"/>
      <c r="BC931" s="109"/>
      <c r="BD931" s="110"/>
      <c r="BE931" s="109"/>
      <c r="BF931" s="111"/>
      <c r="BG931" s="109"/>
      <c r="BH931" s="109"/>
      <c r="BI931" s="110"/>
      <c r="BJ931" s="109"/>
      <c r="BK931" s="111"/>
      <c r="BL931" s="109"/>
      <c r="BM931" s="109"/>
      <c r="BN931" s="110"/>
      <c r="BO931" s="109"/>
      <c r="BP931" s="111"/>
      <c r="BQ931" s="109"/>
      <c r="BR931" s="109"/>
      <c r="BS931" s="110"/>
      <c r="BT931" s="109"/>
      <c r="BU931" s="111"/>
      <c r="BV931" s="109"/>
      <c r="BW931" s="109"/>
      <c r="BX931" s="110"/>
      <c r="BY931" s="109"/>
      <c r="BZ931" s="111"/>
      <c r="CA931" s="109"/>
      <c r="CB931" s="109"/>
      <c r="CC931" s="110"/>
      <c r="CD931" s="109"/>
      <c r="CE931" s="111"/>
      <c r="CF931" s="109"/>
      <c r="CG931" s="109"/>
      <c r="CH931" s="110"/>
      <c r="CI931" s="109"/>
      <c r="CJ931" s="111"/>
      <c r="CK931" s="109"/>
      <c r="CL931" s="109"/>
      <c r="CM931" s="110"/>
      <c r="CN931" s="109"/>
      <c r="CO931" s="111"/>
      <c r="CP931" s="109"/>
      <c r="CQ931" s="109"/>
      <c r="CR931" s="110"/>
      <c r="CS931" s="109"/>
      <c r="CT931" s="111"/>
      <c r="CU931" s="109"/>
      <c r="CV931" s="109"/>
      <c r="CW931" s="110"/>
      <c r="CX931" s="109"/>
      <c r="CY931" s="111"/>
      <c r="CZ931" s="109"/>
      <c r="DA931" s="109"/>
      <c r="DB931" s="110"/>
      <c r="DC931" s="109"/>
      <c r="DD931" s="111"/>
      <c r="DE931" s="109"/>
      <c r="DF931" s="109"/>
      <c r="DG931" s="110"/>
      <c r="DH931" s="109"/>
      <c r="DI931" s="111"/>
      <c r="DJ931" s="109"/>
      <c r="DK931" s="109"/>
      <c r="DL931" s="110"/>
      <c r="DM931" s="109"/>
      <c r="DN931" s="111"/>
      <c r="DO931" s="109"/>
      <c r="DP931" s="109"/>
      <c r="DQ931" s="110"/>
      <c r="DR931" s="109"/>
      <c r="DS931" s="111"/>
      <c r="DT931" s="109"/>
      <c r="DU931" s="109"/>
      <c r="DV931" s="110"/>
      <c r="DW931" s="109"/>
      <c r="DX931" s="111"/>
      <c r="DY931" s="109"/>
      <c r="DZ931" s="109"/>
      <c r="EA931" s="110"/>
      <c r="EB931" s="109"/>
      <c r="EC931" s="111"/>
      <c r="ED931" s="109"/>
      <c r="EE931" s="109"/>
      <c r="EF931" s="110"/>
      <c r="EG931" s="109"/>
      <c r="EH931" s="111"/>
      <c r="EI931" s="109"/>
      <c r="EJ931" s="109"/>
      <c r="EK931" s="110"/>
      <c r="EL931" s="109"/>
      <c r="EM931" s="111"/>
      <c r="EN931" s="109"/>
      <c r="EO931" s="109"/>
      <c r="EP931" s="110"/>
      <c r="EQ931" s="109"/>
      <c r="ER931" s="111"/>
      <c r="ES931" s="109"/>
      <c r="ET931" s="109"/>
      <c r="EU931" s="110"/>
      <c r="EV931" s="109"/>
      <c r="EW931" s="111"/>
      <c r="EX931" s="109"/>
      <c r="EY931" s="109"/>
      <c r="EZ931" s="110"/>
      <c r="FA931" s="109"/>
      <c r="FB931" s="111"/>
      <c r="FC931" s="109"/>
      <c r="FD931" s="109"/>
      <c r="FE931" s="110"/>
      <c r="FF931" s="109"/>
      <c r="FG931" s="111"/>
      <c r="FH931" s="109"/>
      <c r="FI931" s="109"/>
      <c r="FJ931" s="110"/>
      <c r="FK931" s="109"/>
      <c r="FL931" s="111"/>
      <c r="FM931" s="109"/>
      <c r="FN931" s="109"/>
      <c r="FO931" s="110"/>
      <c r="FP931" s="109"/>
      <c r="FQ931" s="111"/>
      <c r="FR931" s="109"/>
      <c r="FS931" s="109"/>
      <c r="FT931" s="110"/>
      <c r="FU931" s="109"/>
      <c r="FV931" s="111"/>
      <c r="FW931" s="109"/>
      <c r="FX931" s="109"/>
      <c r="FY931" s="110"/>
      <c r="FZ931" s="109"/>
      <c r="GA931" s="111"/>
      <c r="GB931" s="109"/>
      <c r="GC931" s="109"/>
      <c r="GD931" s="110"/>
      <c r="GE931" s="109"/>
      <c r="GF931" s="111"/>
      <c r="GG931" s="109"/>
      <c r="GH931" s="109"/>
      <c r="GI931" s="110"/>
      <c r="GJ931" s="109"/>
      <c r="GK931" s="111"/>
      <c r="GL931" s="109"/>
      <c r="GM931" s="109"/>
      <c r="GN931" s="110"/>
      <c r="GO931" s="109"/>
      <c r="GP931" s="111"/>
      <c r="GQ931" s="109"/>
      <c r="GR931" s="109"/>
      <c r="GS931" s="110"/>
      <c r="GT931" s="109"/>
      <c r="GU931" s="111"/>
      <c r="GV931" s="109"/>
      <c r="GW931" s="109"/>
      <c r="GX931" s="110"/>
      <c r="GY931" s="109"/>
      <c r="GZ931" s="111"/>
      <c r="HA931" s="109"/>
      <c r="HB931" s="109"/>
      <c r="HC931" s="110"/>
      <c r="HD931" s="109"/>
      <c r="HE931" s="111"/>
      <c r="HF931" s="109"/>
      <c r="HG931" s="109"/>
      <c r="HH931" s="110"/>
      <c r="HI931" s="109"/>
      <c r="HJ931" s="111"/>
      <c r="HK931" s="109"/>
      <c r="HL931" s="109"/>
      <c r="HM931" s="110"/>
      <c r="HN931" s="109"/>
      <c r="HO931" s="111"/>
      <c r="HP931" s="109"/>
      <c r="HQ931" s="109"/>
      <c r="HR931" s="110"/>
      <c r="HS931" s="109"/>
      <c r="HT931" s="111"/>
      <c r="HU931" s="109"/>
      <c r="HV931" s="109"/>
      <c r="HW931" s="110"/>
      <c r="HX931" s="109"/>
      <c r="HY931" s="111"/>
      <c r="HZ931" s="109"/>
      <c r="IA931" s="109"/>
      <c r="IB931" s="110"/>
      <c r="IC931" s="109"/>
      <c r="ID931" s="111"/>
      <c r="IE931" s="109"/>
      <c r="IF931" s="109"/>
      <c r="IG931" s="110"/>
      <c r="IH931" s="109"/>
      <c r="II931" s="111"/>
      <c r="IJ931" s="109"/>
      <c r="IK931" s="109"/>
      <c r="IL931" s="110"/>
      <c r="IM931" s="109"/>
      <c r="IN931" s="111"/>
      <c r="IO931" s="109"/>
      <c r="IP931" s="109"/>
      <c r="IQ931" s="110"/>
      <c r="IR931" s="109"/>
      <c r="IS931" s="111"/>
      <c r="IT931" s="109"/>
      <c r="IU931" s="109"/>
      <c r="IV931" s="110"/>
    </row>
    <row r="932" spans="1:256" s="123" customFormat="1" ht="14.25">
      <c r="A932" s="134">
        <v>37204</v>
      </c>
      <c r="B932" s="111">
        <v>54.4559</v>
      </c>
      <c r="C932" s="111">
        <f t="shared" si="15"/>
        <v>0.0544559</v>
      </c>
      <c r="D932" s="111">
        <v>33.2842</v>
      </c>
      <c r="E932" s="111">
        <v>37.0978</v>
      </c>
      <c r="F932" s="131"/>
      <c r="G932" s="109"/>
      <c r="H932" s="111"/>
      <c r="I932" s="109"/>
      <c r="J932" s="109"/>
      <c r="K932" s="110"/>
      <c r="L932" s="109"/>
      <c r="M932" s="111"/>
      <c r="N932" s="109"/>
      <c r="O932" s="109"/>
      <c r="P932" s="110"/>
      <c r="Q932" s="109"/>
      <c r="R932" s="111"/>
      <c r="S932" s="109"/>
      <c r="T932" s="109"/>
      <c r="U932" s="110"/>
      <c r="V932" s="109"/>
      <c r="W932" s="111"/>
      <c r="X932" s="109"/>
      <c r="Y932" s="109"/>
      <c r="Z932" s="110"/>
      <c r="AA932" s="109"/>
      <c r="AB932" s="111"/>
      <c r="AC932" s="109"/>
      <c r="AD932" s="109"/>
      <c r="AE932" s="110"/>
      <c r="AF932" s="109"/>
      <c r="AG932" s="111"/>
      <c r="AH932" s="109"/>
      <c r="AI932" s="109"/>
      <c r="AJ932" s="110"/>
      <c r="AK932" s="109"/>
      <c r="AL932" s="111"/>
      <c r="AM932" s="109"/>
      <c r="AN932" s="109"/>
      <c r="AO932" s="110"/>
      <c r="AP932" s="109"/>
      <c r="AQ932" s="111"/>
      <c r="AR932" s="109"/>
      <c r="AS932" s="109"/>
      <c r="AT932" s="110"/>
      <c r="AU932" s="109"/>
      <c r="AV932" s="111"/>
      <c r="AW932" s="109"/>
      <c r="AX932" s="109"/>
      <c r="AY932" s="110"/>
      <c r="AZ932" s="109"/>
      <c r="BA932" s="111"/>
      <c r="BB932" s="109"/>
      <c r="BC932" s="109"/>
      <c r="BD932" s="110"/>
      <c r="BE932" s="109"/>
      <c r="BF932" s="111"/>
      <c r="BG932" s="109"/>
      <c r="BH932" s="109"/>
      <c r="BI932" s="110"/>
      <c r="BJ932" s="109"/>
      <c r="BK932" s="111"/>
      <c r="BL932" s="109"/>
      <c r="BM932" s="109"/>
      <c r="BN932" s="110"/>
      <c r="BO932" s="109"/>
      <c r="BP932" s="111"/>
      <c r="BQ932" s="109"/>
      <c r="BR932" s="109"/>
      <c r="BS932" s="110"/>
      <c r="BT932" s="109"/>
      <c r="BU932" s="111"/>
      <c r="BV932" s="109"/>
      <c r="BW932" s="109"/>
      <c r="BX932" s="110"/>
      <c r="BY932" s="109"/>
      <c r="BZ932" s="111"/>
      <c r="CA932" s="109"/>
      <c r="CB932" s="109"/>
      <c r="CC932" s="110"/>
      <c r="CD932" s="109"/>
      <c r="CE932" s="111"/>
      <c r="CF932" s="109"/>
      <c r="CG932" s="109"/>
      <c r="CH932" s="110"/>
      <c r="CI932" s="109"/>
      <c r="CJ932" s="111"/>
      <c r="CK932" s="109"/>
      <c r="CL932" s="109"/>
      <c r="CM932" s="110"/>
      <c r="CN932" s="109"/>
      <c r="CO932" s="111"/>
      <c r="CP932" s="109"/>
      <c r="CQ932" s="109"/>
      <c r="CR932" s="110"/>
      <c r="CS932" s="109"/>
      <c r="CT932" s="111"/>
      <c r="CU932" s="109"/>
      <c r="CV932" s="109"/>
      <c r="CW932" s="110"/>
      <c r="CX932" s="109"/>
      <c r="CY932" s="111"/>
      <c r="CZ932" s="109"/>
      <c r="DA932" s="109"/>
      <c r="DB932" s="110"/>
      <c r="DC932" s="109"/>
      <c r="DD932" s="111"/>
      <c r="DE932" s="109"/>
      <c r="DF932" s="109"/>
      <c r="DG932" s="110"/>
      <c r="DH932" s="109"/>
      <c r="DI932" s="111"/>
      <c r="DJ932" s="109"/>
      <c r="DK932" s="109"/>
      <c r="DL932" s="110"/>
      <c r="DM932" s="109"/>
      <c r="DN932" s="111"/>
      <c r="DO932" s="109"/>
      <c r="DP932" s="109"/>
      <c r="DQ932" s="110"/>
      <c r="DR932" s="109"/>
      <c r="DS932" s="111"/>
      <c r="DT932" s="109"/>
      <c r="DU932" s="109"/>
      <c r="DV932" s="110"/>
      <c r="DW932" s="109"/>
      <c r="DX932" s="111"/>
      <c r="DY932" s="109"/>
      <c r="DZ932" s="109"/>
      <c r="EA932" s="110"/>
      <c r="EB932" s="109"/>
      <c r="EC932" s="111"/>
      <c r="ED932" s="109"/>
      <c r="EE932" s="109"/>
      <c r="EF932" s="110"/>
      <c r="EG932" s="109"/>
      <c r="EH932" s="111"/>
      <c r="EI932" s="109"/>
      <c r="EJ932" s="109"/>
      <c r="EK932" s="110"/>
      <c r="EL932" s="109"/>
      <c r="EM932" s="111"/>
      <c r="EN932" s="109"/>
      <c r="EO932" s="109"/>
      <c r="EP932" s="110"/>
      <c r="EQ932" s="109"/>
      <c r="ER932" s="111"/>
      <c r="ES932" s="109"/>
      <c r="ET932" s="109"/>
      <c r="EU932" s="110"/>
      <c r="EV932" s="109"/>
      <c r="EW932" s="111"/>
      <c r="EX932" s="109"/>
      <c r="EY932" s="109"/>
      <c r="EZ932" s="110"/>
      <c r="FA932" s="109"/>
      <c r="FB932" s="111"/>
      <c r="FC932" s="109"/>
      <c r="FD932" s="109"/>
      <c r="FE932" s="110"/>
      <c r="FF932" s="109"/>
      <c r="FG932" s="111"/>
      <c r="FH932" s="109"/>
      <c r="FI932" s="109"/>
      <c r="FJ932" s="110"/>
      <c r="FK932" s="109"/>
      <c r="FL932" s="111"/>
      <c r="FM932" s="109"/>
      <c r="FN932" s="109"/>
      <c r="FO932" s="110"/>
      <c r="FP932" s="109"/>
      <c r="FQ932" s="111"/>
      <c r="FR932" s="109"/>
      <c r="FS932" s="109"/>
      <c r="FT932" s="110"/>
      <c r="FU932" s="109"/>
      <c r="FV932" s="111"/>
      <c r="FW932" s="109"/>
      <c r="FX932" s="109"/>
      <c r="FY932" s="110"/>
      <c r="FZ932" s="109"/>
      <c r="GA932" s="111"/>
      <c r="GB932" s="109"/>
      <c r="GC932" s="109"/>
      <c r="GD932" s="110"/>
      <c r="GE932" s="109"/>
      <c r="GF932" s="111"/>
      <c r="GG932" s="109"/>
      <c r="GH932" s="109"/>
      <c r="GI932" s="110"/>
      <c r="GJ932" s="109"/>
      <c r="GK932" s="111"/>
      <c r="GL932" s="109"/>
      <c r="GM932" s="109"/>
      <c r="GN932" s="110"/>
      <c r="GO932" s="109"/>
      <c r="GP932" s="111"/>
      <c r="GQ932" s="109"/>
      <c r="GR932" s="109"/>
      <c r="GS932" s="110"/>
      <c r="GT932" s="109"/>
      <c r="GU932" s="111"/>
      <c r="GV932" s="109"/>
      <c r="GW932" s="109"/>
      <c r="GX932" s="110"/>
      <c r="GY932" s="109"/>
      <c r="GZ932" s="111"/>
      <c r="HA932" s="109"/>
      <c r="HB932" s="109"/>
      <c r="HC932" s="110"/>
      <c r="HD932" s="109"/>
      <c r="HE932" s="111"/>
      <c r="HF932" s="109"/>
      <c r="HG932" s="109"/>
      <c r="HH932" s="110"/>
      <c r="HI932" s="109"/>
      <c r="HJ932" s="111"/>
      <c r="HK932" s="109"/>
      <c r="HL932" s="109"/>
      <c r="HM932" s="110"/>
      <c r="HN932" s="109"/>
      <c r="HO932" s="111"/>
      <c r="HP932" s="109"/>
      <c r="HQ932" s="109"/>
      <c r="HR932" s="110"/>
      <c r="HS932" s="109"/>
      <c r="HT932" s="111"/>
      <c r="HU932" s="109"/>
      <c r="HV932" s="109"/>
      <c r="HW932" s="110"/>
      <c r="HX932" s="109"/>
      <c r="HY932" s="111"/>
      <c r="HZ932" s="109"/>
      <c r="IA932" s="109"/>
      <c r="IB932" s="110"/>
      <c r="IC932" s="109"/>
      <c r="ID932" s="111"/>
      <c r="IE932" s="109"/>
      <c r="IF932" s="109"/>
      <c r="IG932" s="110"/>
      <c r="IH932" s="109"/>
      <c r="II932" s="111"/>
      <c r="IJ932" s="109"/>
      <c r="IK932" s="109"/>
      <c r="IL932" s="110"/>
      <c r="IM932" s="109"/>
      <c r="IN932" s="111"/>
      <c r="IO932" s="109"/>
      <c r="IP932" s="109"/>
      <c r="IQ932" s="110"/>
      <c r="IR932" s="109"/>
      <c r="IS932" s="111"/>
      <c r="IT932" s="109"/>
      <c r="IU932" s="109"/>
      <c r="IV932" s="110"/>
    </row>
    <row r="933" spans="1:256" s="123" customFormat="1" ht="14.25">
      <c r="A933" s="134">
        <v>37207</v>
      </c>
      <c r="B933" s="111">
        <v>55.4555</v>
      </c>
      <c r="C933" s="111">
        <f t="shared" si="15"/>
        <v>0.055455500000000005</v>
      </c>
      <c r="D933" s="111">
        <v>33.7641</v>
      </c>
      <c r="E933" s="111">
        <v>37.8097</v>
      </c>
      <c r="F933" s="131"/>
      <c r="G933" s="109"/>
      <c r="H933" s="111"/>
      <c r="I933" s="109"/>
      <c r="J933" s="109"/>
      <c r="K933" s="110"/>
      <c r="L933" s="109"/>
      <c r="M933" s="111"/>
      <c r="N933" s="109"/>
      <c r="O933" s="109"/>
      <c r="P933" s="110"/>
      <c r="Q933" s="109"/>
      <c r="R933" s="111"/>
      <c r="S933" s="109"/>
      <c r="T933" s="109"/>
      <c r="U933" s="110"/>
      <c r="V933" s="109"/>
      <c r="W933" s="111"/>
      <c r="X933" s="109"/>
      <c r="Y933" s="109"/>
      <c r="Z933" s="110"/>
      <c r="AA933" s="109"/>
      <c r="AB933" s="111"/>
      <c r="AC933" s="109"/>
      <c r="AD933" s="109"/>
      <c r="AE933" s="110"/>
      <c r="AF933" s="109"/>
      <c r="AG933" s="111"/>
      <c r="AH933" s="109"/>
      <c r="AI933" s="109"/>
      <c r="AJ933" s="110"/>
      <c r="AK933" s="109"/>
      <c r="AL933" s="111"/>
      <c r="AM933" s="109"/>
      <c r="AN933" s="109"/>
      <c r="AO933" s="110"/>
      <c r="AP933" s="109"/>
      <c r="AQ933" s="111"/>
      <c r="AR933" s="109"/>
      <c r="AS933" s="109"/>
      <c r="AT933" s="110"/>
      <c r="AU933" s="109"/>
      <c r="AV933" s="111"/>
      <c r="AW933" s="109"/>
      <c r="AX933" s="109"/>
      <c r="AY933" s="110"/>
      <c r="AZ933" s="109"/>
      <c r="BA933" s="111"/>
      <c r="BB933" s="109"/>
      <c r="BC933" s="109"/>
      <c r="BD933" s="110"/>
      <c r="BE933" s="109"/>
      <c r="BF933" s="111"/>
      <c r="BG933" s="109"/>
      <c r="BH933" s="109"/>
      <c r="BI933" s="110"/>
      <c r="BJ933" s="109"/>
      <c r="BK933" s="111"/>
      <c r="BL933" s="109"/>
      <c r="BM933" s="109"/>
      <c r="BN933" s="110"/>
      <c r="BO933" s="109"/>
      <c r="BP933" s="111"/>
      <c r="BQ933" s="109"/>
      <c r="BR933" s="109"/>
      <c r="BS933" s="110"/>
      <c r="BT933" s="109"/>
      <c r="BU933" s="111"/>
      <c r="BV933" s="109"/>
      <c r="BW933" s="109"/>
      <c r="BX933" s="110"/>
      <c r="BY933" s="109"/>
      <c r="BZ933" s="111"/>
      <c r="CA933" s="109"/>
      <c r="CB933" s="109"/>
      <c r="CC933" s="110"/>
      <c r="CD933" s="109"/>
      <c r="CE933" s="111"/>
      <c r="CF933" s="109"/>
      <c r="CG933" s="109"/>
      <c r="CH933" s="110"/>
      <c r="CI933" s="109"/>
      <c r="CJ933" s="111"/>
      <c r="CK933" s="109"/>
      <c r="CL933" s="109"/>
      <c r="CM933" s="110"/>
      <c r="CN933" s="109"/>
      <c r="CO933" s="111"/>
      <c r="CP933" s="109"/>
      <c r="CQ933" s="109"/>
      <c r="CR933" s="110"/>
      <c r="CS933" s="109"/>
      <c r="CT933" s="111"/>
      <c r="CU933" s="109"/>
      <c r="CV933" s="109"/>
      <c r="CW933" s="110"/>
      <c r="CX933" s="109"/>
      <c r="CY933" s="111"/>
      <c r="CZ933" s="109"/>
      <c r="DA933" s="109"/>
      <c r="DB933" s="110"/>
      <c r="DC933" s="109"/>
      <c r="DD933" s="111"/>
      <c r="DE933" s="109"/>
      <c r="DF933" s="109"/>
      <c r="DG933" s="110"/>
      <c r="DH933" s="109"/>
      <c r="DI933" s="111"/>
      <c r="DJ933" s="109"/>
      <c r="DK933" s="109"/>
      <c r="DL933" s="110"/>
      <c r="DM933" s="109"/>
      <c r="DN933" s="111"/>
      <c r="DO933" s="109"/>
      <c r="DP933" s="109"/>
      <c r="DQ933" s="110"/>
      <c r="DR933" s="109"/>
      <c r="DS933" s="111"/>
      <c r="DT933" s="109"/>
      <c r="DU933" s="109"/>
      <c r="DV933" s="110"/>
      <c r="DW933" s="109"/>
      <c r="DX933" s="111"/>
      <c r="DY933" s="109"/>
      <c r="DZ933" s="109"/>
      <c r="EA933" s="110"/>
      <c r="EB933" s="109"/>
      <c r="EC933" s="111"/>
      <c r="ED933" s="109"/>
      <c r="EE933" s="109"/>
      <c r="EF933" s="110"/>
      <c r="EG933" s="109"/>
      <c r="EH933" s="111"/>
      <c r="EI933" s="109"/>
      <c r="EJ933" s="109"/>
      <c r="EK933" s="110"/>
      <c r="EL933" s="109"/>
      <c r="EM933" s="111"/>
      <c r="EN933" s="109"/>
      <c r="EO933" s="109"/>
      <c r="EP933" s="110"/>
      <c r="EQ933" s="109"/>
      <c r="ER933" s="111"/>
      <c r="ES933" s="109"/>
      <c r="ET933" s="109"/>
      <c r="EU933" s="110"/>
      <c r="EV933" s="109"/>
      <c r="EW933" s="111"/>
      <c r="EX933" s="109"/>
      <c r="EY933" s="109"/>
      <c r="EZ933" s="110"/>
      <c r="FA933" s="109"/>
      <c r="FB933" s="111"/>
      <c r="FC933" s="109"/>
      <c r="FD933" s="109"/>
      <c r="FE933" s="110"/>
      <c r="FF933" s="109"/>
      <c r="FG933" s="111"/>
      <c r="FH933" s="109"/>
      <c r="FI933" s="109"/>
      <c r="FJ933" s="110"/>
      <c r="FK933" s="109"/>
      <c r="FL933" s="111"/>
      <c r="FM933" s="109"/>
      <c r="FN933" s="109"/>
      <c r="FO933" s="110"/>
      <c r="FP933" s="109"/>
      <c r="FQ933" s="111"/>
      <c r="FR933" s="109"/>
      <c r="FS933" s="109"/>
      <c r="FT933" s="110"/>
      <c r="FU933" s="109"/>
      <c r="FV933" s="111"/>
      <c r="FW933" s="109"/>
      <c r="FX933" s="109"/>
      <c r="FY933" s="110"/>
      <c r="FZ933" s="109"/>
      <c r="GA933" s="111"/>
      <c r="GB933" s="109"/>
      <c r="GC933" s="109"/>
      <c r="GD933" s="110"/>
      <c r="GE933" s="109"/>
      <c r="GF933" s="111"/>
      <c r="GG933" s="109"/>
      <c r="GH933" s="109"/>
      <c r="GI933" s="110"/>
      <c r="GJ933" s="109"/>
      <c r="GK933" s="111"/>
      <c r="GL933" s="109"/>
      <c r="GM933" s="109"/>
      <c r="GN933" s="110"/>
      <c r="GO933" s="109"/>
      <c r="GP933" s="111"/>
      <c r="GQ933" s="109"/>
      <c r="GR933" s="109"/>
      <c r="GS933" s="110"/>
      <c r="GT933" s="109"/>
      <c r="GU933" s="111"/>
      <c r="GV933" s="109"/>
      <c r="GW933" s="109"/>
      <c r="GX933" s="110"/>
      <c r="GY933" s="109"/>
      <c r="GZ933" s="111"/>
      <c r="HA933" s="109"/>
      <c r="HB933" s="109"/>
      <c r="HC933" s="110"/>
      <c r="HD933" s="109"/>
      <c r="HE933" s="111"/>
      <c r="HF933" s="109"/>
      <c r="HG933" s="109"/>
      <c r="HH933" s="110"/>
      <c r="HI933" s="109"/>
      <c r="HJ933" s="111"/>
      <c r="HK933" s="109"/>
      <c r="HL933" s="109"/>
      <c r="HM933" s="110"/>
      <c r="HN933" s="109"/>
      <c r="HO933" s="111"/>
      <c r="HP933" s="109"/>
      <c r="HQ933" s="109"/>
      <c r="HR933" s="110"/>
      <c r="HS933" s="109"/>
      <c r="HT933" s="111"/>
      <c r="HU933" s="109"/>
      <c r="HV933" s="109"/>
      <c r="HW933" s="110"/>
      <c r="HX933" s="109"/>
      <c r="HY933" s="111"/>
      <c r="HZ933" s="109"/>
      <c r="IA933" s="109"/>
      <c r="IB933" s="110"/>
      <c r="IC933" s="109"/>
      <c r="ID933" s="111"/>
      <c r="IE933" s="109"/>
      <c r="IF933" s="109"/>
      <c r="IG933" s="110"/>
      <c r="IH933" s="109"/>
      <c r="II933" s="111"/>
      <c r="IJ933" s="109"/>
      <c r="IK933" s="109"/>
      <c r="IL933" s="110"/>
      <c r="IM933" s="109"/>
      <c r="IN933" s="111"/>
      <c r="IO933" s="109"/>
      <c r="IP933" s="109"/>
      <c r="IQ933" s="110"/>
      <c r="IR933" s="109"/>
      <c r="IS933" s="111"/>
      <c r="IT933" s="109"/>
      <c r="IU933" s="109"/>
      <c r="IV933" s="110"/>
    </row>
    <row r="934" spans="1:256" s="123" customFormat="1" ht="14.25">
      <c r="A934" s="134">
        <v>37208</v>
      </c>
      <c r="B934" s="111">
        <v>63.9614</v>
      </c>
      <c r="C934" s="111">
        <f t="shared" si="15"/>
        <v>0.0639614</v>
      </c>
      <c r="D934" s="111">
        <v>38.9826</v>
      </c>
      <c r="E934" s="111">
        <v>43.7074</v>
      </c>
      <c r="F934" s="131"/>
      <c r="G934" s="109"/>
      <c r="H934" s="111"/>
      <c r="I934" s="109"/>
      <c r="J934" s="109"/>
      <c r="K934" s="110"/>
      <c r="L934" s="109"/>
      <c r="M934" s="111"/>
      <c r="N934" s="109"/>
      <c r="O934" s="109"/>
      <c r="P934" s="110"/>
      <c r="Q934" s="109"/>
      <c r="R934" s="111"/>
      <c r="S934" s="109"/>
      <c r="T934" s="109"/>
      <c r="U934" s="110"/>
      <c r="V934" s="109"/>
      <c r="W934" s="111"/>
      <c r="X934" s="109"/>
      <c r="Y934" s="109"/>
      <c r="Z934" s="110"/>
      <c r="AA934" s="109"/>
      <c r="AB934" s="111"/>
      <c r="AC934" s="109"/>
      <c r="AD934" s="109"/>
      <c r="AE934" s="110"/>
      <c r="AF934" s="109"/>
      <c r="AG934" s="111"/>
      <c r="AH934" s="109"/>
      <c r="AI934" s="109"/>
      <c r="AJ934" s="110"/>
      <c r="AK934" s="109"/>
      <c r="AL934" s="111"/>
      <c r="AM934" s="109"/>
      <c r="AN934" s="109"/>
      <c r="AO934" s="110"/>
      <c r="AP934" s="109"/>
      <c r="AQ934" s="111"/>
      <c r="AR934" s="109"/>
      <c r="AS934" s="109"/>
      <c r="AT934" s="110"/>
      <c r="AU934" s="109"/>
      <c r="AV934" s="111"/>
      <c r="AW934" s="109"/>
      <c r="AX934" s="109"/>
      <c r="AY934" s="110"/>
      <c r="AZ934" s="109"/>
      <c r="BA934" s="111"/>
      <c r="BB934" s="109"/>
      <c r="BC934" s="109"/>
      <c r="BD934" s="110"/>
      <c r="BE934" s="109"/>
      <c r="BF934" s="111"/>
      <c r="BG934" s="109"/>
      <c r="BH934" s="109"/>
      <c r="BI934" s="110"/>
      <c r="BJ934" s="109"/>
      <c r="BK934" s="111"/>
      <c r="BL934" s="109"/>
      <c r="BM934" s="109"/>
      <c r="BN934" s="110"/>
      <c r="BO934" s="109"/>
      <c r="BP934" s="111"/>
      <c r="BQ934" s="109"/>
      <c r="BR934" s="109"/>
      <c r="BS934" s="110"/>
      <c r="BT934" s="109"/>
      <c r="BU934" s="111"/>
      <c r="BV934" s="109"/>
      <c r="BW934" s="109"/>
      <c r="BX934" s="110"/>
      <c r="BY934" s="109"/>
      <c r="BZ934" s="111"/>
      <c r="CA934" s="109"/>
      <c r="CB934" s="109"/>
      <c r="CC934" s="110"/>
      <c r="CD934" s="109"/>
      <c r="CE934" s="111"/>
      <c r="CF934" s="109"/>
      <c r="CG934" s="109"/>
      <c r="CH934" s="110"/>
      <c r="CI934" s="109"/>
      <c r="CJ934" s="111"/>
      <c r="CK934" s="109"/>
      <c r="CL934" s="109"/>
      <c r="CM934" s="110"/>
      <c r="CN934" s="109"/>
      <c r="CO934" s="111"/>
      <c r="CP934" s="109"/>
      <c r="CQ934" s="109"/>
      <c r="CR934" s="110"/>
      <c r="CS934" s="109"/>
      <c r="CT934" s="111"/>
      <c r="CU934" s="109"/>
      <c r="CV934" s="109"/>
      <c r="CW934" s="110"/>
      <c r="CX934" s="109"/>
      <c r="CY934" s="111"/>
      <c r="CZ934" s="109"/>
      <c r="DA934" s="109"/>
      <c r="DB934" s="110"/>
      <c r="DC934" s="109"/>
      <c r="DD934" s="111"/>
      <c r="DE934" s="109"/>
      <c r="DF934" s="109"/>
      <c r="DG934" s="110"/>
      <c r="DH934" s="109"/>
      <c r="DI934" s="111"/>
      <c r="DJ934" s="109"/>
      <c r="DK934" s="109"/>
      <c r="DL934" s="110"/>
      <c r="DM934" s="109"/>
      <c r="DN934" s="111"/>
      <c r="DO934" s="109"/>
      <c r="DP934" s="109"/>
      <c r="DQ934" s="110"/>
      <c r="DR934" s="109"/>
      <c r="DS934" s="111"/>
      <c r="DT934" s="109"/>
      <c r="DU934" s="109"/>
      <c r="DV934" s="110"/>
      <c r="DW934" s="109"/>
      <c r="DX934" s="111"/>
      <c r="DY934" s="109"/>
      <c r="DZ934" s="109"/>
      <c r="EA934" s="110"/>
      <c r="EB934" s="109"/>
      <c r="EC934" s="111"/>
      <c r="ED934" s="109"/>
      <c r="EE934" s="109"/>
      <c r="EF934" s="110"/>
      <c r="EG934" s="109"/>
      <c r="EH934" s="111"/>
      <c r="EI934" s="109"/>
      <c r="EJ934" s="109"/>
      <c r="EK934" s="110"/>
      <c r="EL934" s="109"/>
      <c r="EM934" s="111"/>
      <c r="EN934" s="109"/>
      <c r="EO934" s="109"/>
      <c r="EP934" s="110"/>
      <c r="EQ934" s="109"/>
      <c r="ER934" s="111"/>
      <c r="ES934" s="109"/>
      <c r="ET934" s="109"/>
      <c r="EU934" s="110"/>
      <c r="EV934" s="109"/>
      <c r="EW934" s="111"/>
      <c r="EX934" s="109"/>
      <c r="EY934" s="109"/>
      <c r="EZ934" s="110"/>
      <c r="FA934" s="109"/>
      <c r="FB934" s="111"/>
      <c r="FC934" s="109"/>
      <c r="FD934" s="109"/>
      <c r="FE934" s="110"/>
      <c r="FF934" s="109"/>
      <c r="FG934" s="111"/>
      <c r="FH934" s="109"/>
      <c r="FI934" s="109"/>
      <c r="FJ934" s="110"/>
      <c r="FK934" s="109"/>
      <c r="FL934" s="111"/>
      <c r="FM934" s="109"/>
      <c r="FN934" s="109"/>
      <c r="FO934" s="110"/>
      <c r="FP934" s="109"/>
      <c r="FQ934" s="111"/>
      <c r="FR934" s="109"/>
      <c r="FS934" s="109"/>
      <c r="FT934" s="110"/>
      <c r="FU934" s="109"/>
      <c r="FV934" s="111"/>
      <c r="FW934" s="109"/>
      <c r="FX934" s="109"/>
      <c r="FY934" s="110"/>
      <c r="FZ934" s="109"/>
      <c r="GA934" s="111"/>
      <c r="GB934" s="109"/>
      <c r="GC934" s="109"/>
      <c r="GD934" s="110"/>
      <c r="GE934" s="109"/>
      <c r="GF934" s="111"/>
      <c r="GG934" s="109"/>
      <c r="GH934" s="109"/>
      <c r="GI934" s="110"/>
      <c r="GJ934" s="109"/>
      <c r="GK934" s="111"/>
      <c r="GL934" s="109"/>
      <c r="GM934" s="109"/>
      <c r="GN934" s="110"/>
      <c r="GO934" s="109"/>
      <c r="GP934" s="111"/>
      <c r="GQ934" s="109"/>
      <c r="GR934" s="109"/>
      <c r="GS934" s="110"/>
      <c r="GT934" s="109"/>
      <c r="GU934" s="111"/>
      <c r="GV934" s="109"/>
      <c r="GW934" s="109"/>
      <c r="GX934" s="110"/>
      <c r="GY934" s="109"/>
      <c r="GZ934" s="111"/>
      <c r="HA934" s="109"/>
      <c r="HB934" s="109"/>
      <c r="HC934" s="110"/>
      <c r="HD934" s="109"/>
      <c r="HE934" s="111"/>
      <c r="HF934" s="109"/>
      <c r="HG934" s="109"/>
      <c r="HH934" s="110"/>
      <c r="HI934" s="109"/>
      <c r="HJ934" s="111"/>
      <c r="HK934" s="109"/>
      <c r="HL934" s="109"/>
      <c r="HM934" s="110"/>
      <c r="HN934" s="109"/>
      <c r="HO934" s="111"/>
      <c r="HP934" s="109"/>
      <c r="HQ934" s="109"/>
      <c r="HR934" s="110"/>
      <c r="HS934" s="109"/>
      <c r="HT934" s="111"/>
      <c r="HU934" s="109"/>
      <c r="HV934" s="109"/>
      <c r="HW934" s="110"/>
      <c r="HX934" s="109"/>
      <c r="HY934" s="111"/>
      <c r="HZ934" s="109"/>
      <c r="IA934" s="109"/>
      <c r="IB934" s="110"/>
      <c r="IC934" s="109"/>
      <c r="ID934" s="111"/>
      <c r="IE934" s="109"/>
      <c r="IF934" s="109"/>
      <c r="IG934" s="110"/>
      <c r="IH934" s="109"/>
      <c r="II934" s="111"/>
      <c r="IJ934" s="109"/>
      <c r="IK934" s="109"/>
      <c r="IL934" s="110"/>
      <c r="IM934" s="109"/>
      <c r="IN934" s="111"/>
      <c r="IO934" s="109"/>
      <c r="IP934" s="109"/>
      <c r="IQ934" s="110"/>
      <c r="IR934" s="109"/>
      <c r="IS934" s="111"/>
      <c r="IT934" s="109"/>
      <c r="IU934" s="109"/>
      <c r="IV934" s="110"/>
    </row>
    <row r="935" spans="1:256" s="123" customFormat="1" ht="14.25">
      <c r="A935" s="134">
        <v>37209</v>
      </c>
      <c r="B935" s="111">
        <v>65.2164</v>
      </c>
      <c r="C935" s="111">
        <f t="shared" si="15"/>
        <v>0.0652164</v>
      </c>
      <c r="D935" s="111">
        <v>39.3479</v>
      </c>
      <c r="E935" s="111">
        <v>44.5011</v>
      </c>
      <c r="F935" s="131"/>
      <c r="G935" s="109"/>
      <c r="H935" s="111"/>
      <c r="I935" s="109"/>
      <c r="J935" s="109"/>
      <c r="K935" s="110"/>
      <c r="L935" s="109"/>
      <c r="M935" s="111"/>
      <c r="N935" s="109"/>
      <c r="O935" s="109"/>
      <c r="P935" s="110"/>
      <c r="Q935" s="109"/>
      <c r="R935" s="111"/>
      <c r="S935" s="109"/>
      <c r="T935" s="109"/>
      <c r="U935" s="110"/>
      <c r="V935" s="109"/>
      <c r="W935" s="111"/>
      <c r="X935" s="109"/>
      <c r="Y935" s="109"/>
      <c r="Z935" s="110"/>
      <c r="AA935" s="109"/>
      <c r="AB935" s="111"/>
      <c r="AC935" s="109"/>
      <c r="AD935" s="109"/>
      <c r="AE935" s="110"/>
      <c r="AF935" s="109"/>
      <c r="AG935" s="111"/>
      <c r="AH935" s="109"/>
      <c r="AI935" s="109"/>
      <c r="AJ935" s="110"/>
      <c r="AK935" s="109"/>
      <c r="AL935" s="111"/>
      <c r="AM935" s="109"/>
      <c r="AN935" s="109"/>
      <c r="AO935" s="110"/>
      <c r="AP935" s="109"/>
      <c r="AQ935" s="111"/>
      <c r="AR935" s="109"/>
      <c r="AS935" s="109"/>
      <c r="AT935" s="110"/>
      <c r="AU935" s="109"/>
      <c r="AV935" s="111"/>
      <c r="AW935" s="109"/>
      <c r="AX935" s="109"/>
      <c r="AY935" s="110"/>
      <c r="AZ935" s="109"/>
      <c r="BA935" s="111"/>
      <c r="BB935" s="109"/>
      <c r="BC935" s="109"/>
      <c r="BD935" s="110"/>
      <c r="BE935" s="109"/>
      <c r="BF935" s="111"/>
      <c r="BG935" s="109"/>
      <c r="BH935" s="109"/>
      <c r="BI935" s="110"/>
      <c r="BJ935" s="109"/>
      <c r="BK935" s="111"/>
      <c r="BL935" s="109"/>
      <c r="BM935" s="109"/>
      <c r="BN935" s="110"/>
      <c r="BO935" s="109"/>
      <c r="BP935" s="111"/>
      <c r="BQ935" s="109"/>
      <c r="BR935" s="109"/>
      <c r="BS935" s="110"/>
      <c r="BT935" s="109"/>
      <c r="BU935" s="111"/>
      <c r="BV935" s="109"/>
      <c r="BW935" s="109"/>
      <c r="BX935" s="110"/>
      <c r="BY935" s="109"/>
      <c r="BZ935" s="111"/>
      <c r="CA935" s="109"/>
      <c r="CB935" s="109"/>
      <c r="CC935" s="110"/>
      <c r="CD935" s="109"/>
      <c r="CE935" s="111"/>
      <c r="CF935" s="109"/>
      <c r="CG935" s="109"/>
      <c r="CH935" s="110"/>
      <c r="CI935" s="109"/>
      <c r="CJ935" s="111"/>
      <c r="CK935" s="109"/>
      <c r="CL935" s="109"/>
      <c r="CM935" s="110"/>
      <c r="CN935" s="109"/>
      <c r="CO935" s="111"/>
      <c r="CP935" s="109"/>
      <c r="CQ935" s="109"/>
      <c r="CR935" s="110"/>
      <c r="CS935" s="109"/>
      <c r="CT935" s="111"/>
      <c r="CU935" s="109"/>
      <c r="CV935" s="109"/>
      <c r="CW935" s="110"/>
      <c r="CX935" s="109"/>
      <c r="CY935" s="111"/>
      <c r="CZ935" s="109"/>
      <c r="DA935" s="109"/>
      <c r="DB935" s="110"/>
      <c r="DC935" s="109"/>
      <c r="DD935" s="111"/>
      <c r="DE935" s="109"/>
      <c r="DF935" s="109"/>
      <c r="DG935" s="110"/>
      <c r="DH935" s="109"/>
      <c r="DI935" s="111"/>
      <c r="DJ935" s="109"/>
      <c r="DK935" s="109"/>
      <c r="DL935" s="110"/>
      <c r="DM935" s="109"/>
      <c r="DN935" s="111"/>
      <c r="DO935" s="109"/>
      <c r="DP935" s="109"/>
      <c r="DQ935" s="110"/>
      <c r="DR935" s="109"/>
      <c r="DS935" s="111"/>
      <c r="DT935" s="109"/>
      <c r="DU935" s="109"/>
      <c r="DV935" s="110"/>
      <c r="DW935" s="109"/>
      <c r="DX935" s="111"/>
      <c r="DY935" s="109"/>
      <c r="DZ935" s="109"/>
      <c r="EA935" s="110"/>
      <c r="EB935" s="109"/>
      <c r="EC935" s="111"/>
      <c r="ED935" s="109"/>
      <c r="EE935" s="109"/>
      <c r="EF935" s="110"/>
      <c r="EG935" s="109"/>
      <c r="EH935" s="111"/>
      <c r="EI935" s="109"/>
      <c r="EJ935" s="109"/>
      <c r="EK935" s="110"/>
      <c r="EL935" s="109"/>
      <c r="EM935" s="111"/>
      <c r="EN935" s="109"/>
      <c r="EO935" s="109"/>
      <c r="EP935" s="110"/>
      <c r="EQ935" s="109"/>
      <c r="ER935" s="111"/>
      <c r="ES935" s="109"/>
      <c r="ET935" s="109"/>
      <c r="EU935" s="110"/>
      <c r="EV935" s="109"/>
      <c r="EW935" s="111"/>
      <c r="EX935" s="109"/>
      <c r="EY935" s="109"/>
      <c r="EZ935" s="110"/>
      <c r="FA935" s="109"/>
      <c r="FB935" s="111"/>
      <c r="FC935" s="109"/>
      <c r="FD935" s="109"/>
      <c r="FE935" s="110"/>
      <c r="FF935" s="109"/>
      <c r="FG935" s="111"/>
      <c r="FH935" s="109"/>
      <c r="FI935" s="109"/>
      <c r="FJ935" s="110"/>
      <c r="FK935" s="109"/>
      <c r="FL935" s="111"/>
      <c r="FM935" s="109"/>
      <c r="FN935" s="109"/>
      <c r="FO935" s="110"/>
      <c r="FP935" s="109"/>
      <c r="FQ935" s="111"/>
      <c r="FR935" s="109"/>
      <c r="FS935" s="109"/>
      <c r="FT935" s="110"/>
      <c r="FU935" s="109"/>
      <c r="FV935" s="111"/>
      <c r="FW935" s="109"/>
      <c r="FX935" s="109"/>
      <c r="FY935" s="110"/>
      <c r="FZ935" s="109"/>
      <c r="GA935" s="111"/>
      <c r="GB935" s="109"/>
      <c r="GC935" s="109"/>
      <c r="GD935" s="110"/>
      <c r="GE935" s="109"/>
      <c r="GF935" s="111"/>
      <c r="GG935" s="109"/>
      <c r="GH935" s="109"/>
      <c r="GI935" s="110"/>
      <c r="GJ935" s="109"/>
      <c r="GK935" s="111"/>
      <c r="GL935" s="109"/>
      <c r="GM935" s="109"/>
      <c r="GN935" s="110"/>
      <c r="GO935" s="109"/>
      <c r="GP935" s="111"/>
      <c r="GQ935" s="109"/>
      <c r="GR935" s="109"/>
      <c r="GS935" s="110"/>
      <c r="GT935" s="109"/>
      <c r="GU935" s="111"/>
      <c r="GV935" s="109"/>
      <c r="GW935" s="109"/>
      <c r="GX935" s="110"/>
      <c r="GY935" s="109"/>
      <c r="GZ935" s="111"/>
      <c r="HA935" s="109"/>
      <c r="HB935" s="109"/>
      <c r="HC935" s="110"/>
      <c r="HD935" s="109"/>
      <c r="HE935" s="111"/>
      <c r="HF935" s="109"/>
      <c r="HG935" s="109"/>
      <c r="HH935" s="110"/>
      <c r="HI935" s="109"/>
      <c r="HJ935" s="111"/>
      <c r="HK935" s="109"/>
      <c r="HL935" s="109"/>
      <c r="HM935" s="110"/>
      <c r="HN935" s="109"/>
      <c r="HO935" s="111"/>
      <c r="HP935" s="109"/>
      <c r="HQ935" s="109"/>
      <c r="HR935" s="110"/>
      <c r="HS935" s="109"/>
      <c r="HT935" s="111"/>
      <c r="HU935" s="109"/>
      <c r="HV935" s="109"/>
      <c r="HW935" s="110"/>
      <c r="HX935" s="109"/>
      <c r="HY935" s="111"/>
      <c r="HZ935" s="109"/>
      <c r="IA935" s="109"/>
      <c r="IB935" s="110"/>
      <c r="IC935" s="109"/>
      <c r="ID935" s="111"/>
      <c r="IE935" s="109"/>
      <c r="IF935" s="109"/>
      <c r="IG935" s="110"/>
      <c r="IH935" s="109"/>
      <c r="II935" s="111"/>
      <c r="IJ935" s="109"/>
      <c r="IK935" s="109"/>
      <c r="IL935" s="110"/>
      <c r="IM935" s="109"/>
      <c r="IN935" s="111"/>
      <c r="IO935" s="109"/>
      <c r="IP935" s="109"/>
      <c r="IQ935" s="110"/>
      <c r="IR935" s="109"/>
      <c r="IS935" s="111"/>
      <c r="IT935" s="109"/>
      <c r="IU935" s="109"/>
      <c r="IV935" s="110"/>
    </row>
    <row r="936" spans="1:256" s="123" customFormat="1" ht="14.25">
      <c r="A936" s="134">
        <v>37210</v>
      </c>
      <c r="B936" s="111">
        <v>73.7145</v>
      </c>
      <c r="C936" s="111">
        <f t="shared" si="15"/>
        <v>0.0737145</v>
      </c>
      <c r="D936" s="111">
        <v>44.1405</v>
      </c>
      <c r="E936" s="111">
        <v>50.1425</v>
      </c>
      <c r="F936" s="131"/>
      <c r="G936" s="109"/>
      <c r="H936" s="111"/>
      <c r="I936" s="109"/>
      <c r="J936" s="109"/>
      <c r="K936" s="110"/>
      <c r="L936" s="109"/>
      <c r="M936" s="111"/>
      <c r="N936" s="109"/>
      <c r="O936" s="109"/>
      <c r="P936" s="110"/>
      <c r="Q936" s="109"/>
      <c r="R936" s="111"/>
      <c r="S936" s="109"/>
      <c r="T936" s="109"/>
      <c r="U936" s="110"/>
      <c r="V936" s="109"/>
      <c r="W936" s="111"/>
      <c r="X936" s="109"/>
      <c r="Y936" s="109"/>
      <c r="Z936" s="110"/>
      <c r="AA936" s="109"/>
      <c r="AB936" s="111"/>
      <c r="AC936" s="109"/>
      <c r="AD936" s="109"/>
      <c r="AE936" s="110"/>
      <c r="AF936" s="109"/>
      <c r="AG936" s="111"/>
      <c r="AH936" s="109"/>
      <c r="AI936" s="109"/>
      <c r="AJ936" s="110"/>
      <c r="AK936" s="109"/>
      <c r="AL936" s="111"/>
      <c r="AM936" s="109"/>
      <c r="AN936" s="109"/>
      <c r="AO936" s="110"/>
      <c r="AP936" s="109"/>
      <c r="AQ936" s="111"/>
      <c r="AR936" s="109"/>
      <c r="AS936" s="109"/>
      <c r="AT936" s="110"/>
      <c r="AU936" s="109"/>
      <c r="AV936" s="111"/>
      <c r="AW936" s="109"/>
      <c r="AX936" s="109"/>
      <c r="AY936" s="110"/>
      <c r="AZ936" s="109"/>
      <c r="BA936" s="111"/>
      <c r="BB936" s="109"/>
      <c r="BC936" s="109"/>
      <c r="BD936" s="110"/>
      <c r="BE936" s="109"/>
      <c r="BF936" s="111"/>
      <c r="BG936" s="109"/>
      <c r="BH936" s="109"/>
      <c r="BI936" s="110"/>
      <c r="BJ936" s="109"/>
      <c r="BK936" s="111"/>
      <c r="BL936" s="109"/>
      <c r="BM936" s="109"/>
      <c r="BN936" s="110"/>
      <c r="BO936" s="109"/>
      <c r="BP936" s="111"/>
      <c r="BQ936" s="109"/>
      <c r="BR936" s="109"/>
      <c r="BS936" s="110"/>
      <c r="BT936" s="109"/>
      <c r="BU936" s="111"/>
      <c r="BV936" s="109"/>
      <c r="BW936" s="109"/>
      <c r="BX936" s="110"/>
      <c r="BY936" s="109"/>
      <c r="BZ936" s="111"/>
      <c r="CA936" s="109"/>
      <c r="CB936" s="109"/>
      <c r="CC936" s="110"/>
      <c r="CD936" s="109"/>
      <c r="CE936" s="111"/>
      <c r="CF936" s="109"/>
      <c r="CG936" s="109"/>
      <c r="CH936" s="110"/>
      <c r="CI936" s="109"/>
      <c r="CJ936" s="111"/>
      <c r="CK936" s="109"/>
      <c r="CL936" s="109"/>
      <c r="CM936" s="110"/>
      <c r="CN936" s="109"/>
      <c r="CO936" s="111"/>
      <c r="CP936" s="109"/>
      <c r="CQ936" s="109"/>
      <c r="CR936" s="110"/>
      <c r="CS936" s="109"/>
      <c r="CT936" s="111"/>
      <c r="CU936" s="109"/>
      <c r="CV936" s="109"/>
      <c r="CW936" s="110"/>
      <c r="CX936" s="109"/>
      <c r="CY936" s="111"/>
      <c r="CZ936" s="109"/>
      <c r="DA936" s="109"/>
      <c r="DB936" s="110"/>
      <c r="DC936" s="109"/>
      <c r="DD936" s="111"/>
      <c r="DE936" s="109"/>
      <c r="DF936" s="109"/>
      <c r="DG936" s="110"/>
      <c r="DH936" s="109"/>
      <c r="DI936" s="111"/>
      <c r="DJ936" s="109"/>
      <c r="DK936" s="109"/>
      <c r="DL936" s="110"/>
      <c r="DM936" s="109"/>
      <c r="DN936" s="111"/>
      <c r="DO936" s="109"/>
      <c r="DP936" s="109"/>
      <c r="DQ936" s="110"/>
      <c r="DR936" s="109"/>
      <c r="DS936" s="111"/>
      <c r="DT936" s="109"/>
      <c r="DU936" s="109"/>
      <c r="DV936" s="110"/>
      <c r="DW936" s="109"/>
      <c r="DX936" s="111"/>
      <c r="DY936" s="109"/>
      <c r="DZ936" s="109"/>
      <c r="EA936" s="110"/>
      <c r="EB936" s="109"/>
      <c r="EC936" s="111"/>
      <c r="ED936" s="109"/>
      <c r="EE936" s="109"/>
      <c r="EF936" s="110"/>
      <c r="EG936" s="109"/>
      <c r="EH936" s="111"/>
      <c r="EI936" s="109"/>
      <c r="EJ936" s="109"/>
      <c r="EK936" s="110"/>
      <c r="EL936" s="109"/>
      <c r="EM936" s="111"/>
      <c r="EN936" s="109"/>
      <c r="EO936" s="109"/>
      <c r="EP936" s="110"/>
      <c r="EQ936" s="109"/>
      <c r="ER936" s="111"/>
      <c r="ES936" s="109"/>
      <c r="ET936" s="109"/>
      <c r="EU936" s="110"/>
      <c r="EV936" s="109"/>
      <c r="EW936" s="111"/>
      <c r="EX936" s="109"/>
      <c r="EY936" s="109"/>
      <c r="EZ936" s="110"/>
      <c r="FA936" s="109"/>
      <c r="FB936" s="111"/>
      <c r="FC936" s="109"/>
      <c r="FD936" s="109"/>
      <c r="FE936" s="110"/>
      <c r="FF936" s="109"/>
      <c r="FG936" s="111"/>
      <c r="FH936" s="109"/>
      <c r="FI936" s="109"/>
      <c r="FJ936" s="110"/>
      <c r="FK936" s="109"/>
      <c r="FL936" s="111"/>
      <c r="FM936" s="109"/>
      <c r="FN936" s="109"/>
      <c r="FO936" s="110"/>
      <c r="FP936" s="109"/>
      <c r="FQ936" s="111"/>
      <c r="FR936" s="109"/>
      <c r="FS936" s="109"/>
      <c r="FT936" s="110"/>
      <c r="FU936" s="109"/>
      <c r="FV936" s="111"/>
      <c r="FW936" s="109"/>
      <c r="FX936" s="109"/>
      <c r="FY936" s="110"/>
      <c r="FZ936" s="109"/>
      <c r="GA936" s="111"/>
      <c r="GB936" s="109"/>
      <c r="GC936" s="109"/>
      <c r="GD936" s="110"/>
      <c r="GE936" s="109"/>
      <c r="GF936" s="111"/>
      <c r="GG936" s="109"/>
      <c r="GH936" s="109"/>
      <c r="GI936" s="110"/>
      <c r="GJ936" s="109"/>
      <c r="GK936" s="111"/>
      <c r="GL936" s="109"/>
      <c r="GM936" s="109"/>
      <c r="GN936" s="110"/>
      <c r="GO936" s="109"/>
      <c r="GP936" s="111"/>
      <c r="GQ936" s="109"/>
      <c r="GR936" s="109"/>
      <c r="GS936" s="110"/>
      <c r="GT936" s="109"/>
      <c r="GU936" s="111"/>
      <c r="GV936" s="109"/>
      <c r="GW936" s="109"/>
      <c r="GX936" s="110"/>
      <c r="GY936" s="109"/>
      <c r="GZ936" s="111"/>
      <c r="HA936" s="109"/>
      <c r="HB936" s="109"/>
      <c r="HC936" s="110"/>
      <c r="HD936" s="109"/>
      <c r="HE936" s="111"/>
      <c r="HF936" s="109"/>
      <c r="HG936" s="109"/>
      <c r="HH936" s="110"/>
      <c r="HI936" s="109"/>
      <c r="HJ936" s="111"/>
      <c r="HK936" s="109"/>
      <c r="HL936" s="109"/>
      <c r="HM936" s="110"/>
      <c r="HN936" s="109"/>
      <c r="HO936" s="111"/>
      <c r="HP936" s="109"/>
      <c r="HQ936" s="109"/>
      <c r="HR936" s="110"/>
      <c r="HS936" s="109"/>
      <c r="HT936" s="111"/>
      <c r="HU936" s="109"/>
      <c r="HV936" s="109"/>
      <c r="HW936" s="110"/>
      <c r="HX936" s="109"/>
      <c r="HY936" s="111"/>
      <c r="HZ936" s="109"/>
      <c r="IA936" s="109"/>
      <c r="IB936" s="110"/>
      <c r="IC936" s="109"/>
      <c r="ID936" s="111"/>
      <c r="IE936" s="109"/>
      <c r="IF936" s="109"/>
      <c r="IG936" s="110"/>
      <c r="IH936" s="109"/>
      <c r="II936" s="111"/>
      <c r="IJ936" s="109"/>
      <c r="IK936" s="109"/>
      <c r="IL936" s="110"/>
      <c r="IM936" s="109"/>
      <c r="IN936" s="111"/>
      <c r="IO936" s="109"/>
      <c r="IP936" s="109"/>
      <c r="IQ936" s="110"/>
      <c r="IR936" s="109"/>
      <c r="IS936" s="111"/>
      <c r="IT936" s="109"/>
      <c r="IU936" s="109"/>
      <c r="IV936" s="110"/>
    </row>
    <row r="937" spans="1:256" s="123" customFormat="1" ht="14.25">
      <c r="A937" s="134">
        <v>37211</v>
      </c>
      <c r="B937" s="111">
        <v>70.4847</v>
      </c>
      <c r="C937" s="111">
        <f t="shared" si="15"/>
        <v>0.07048470000000001</v>
      </c>
      <c r="D937" s="111">
        <v>42.2889</v>
      </c>
      <c r="E937" s="111">
        <v>47.9195</v>
      </c>
      <c r="F937" s="131"/>
      <c r="G937" s="109"/>
      <c r="H937" s="111"/>
      <c r="I937" s="109"/>
      <c r="J937" s="109"/>
      <c r="K937" s="110"/>
      <c r="L937" s="109"/>
      <c r="M937" s="111"/>
      <c r="N937" s="109"/>
      <c r="O937" s="109"/>
      <c r="P937" s="110"/>
      <c r="Q937" s="109"/>
      <c r="R937" s="111"/>
      <c r="S937" s="109"/>
      <c r="T937" s="109"/>
      <c r="U937" s="110"/>
      <c r="V937" s="109"/>
      <c r="W937" s="111"/>
      <c r="X937" s="109"/>
      <c r="Y937" s="109"/>
      <c r="Z937" s="110"/>
      <c r="AA937" s="109"/>
      <c r="AB937" s="111"/>
      <c r="AC937" s="109"/>
      <c r="AD937" s="109"/>
      <c r="AE937" s="110"/>
      <c r="AF937" s="109"/>
      <c r="AG937" s="111"/>
      <c r="AH937" s="109"/>
      <c r="AI937" s="109"/>
      <c r="AJ937" s="110"/>
      <c r="AK937" s="109"/>
      <c r="AL937" s="111"/>
      <c r="AM937" s="109"/>
      <c r="AN937" s="109"/>
      <c r="AO937" s="110"/>
      <c r="AP937" s="109"/>
      <c r="AQ937" s="111"/>
      <c r="AR937" s="109"/>
      <c r="AS937" s="109"/>
      <c r="AT937" s="110"/>
      <c r="AU937" s="109"/>
      <c r="AV937" s="111"/>
      <c r="AW937" s="109"/>
      <c r="AX937" s="109"/>
      <c r="AY937" s="110"/>
      <c r="AZ937" s="109"/>
      <c r="BA937" s="111"/>
      <c r="BB937" s="109"/>
      <c r="BC937" s="109"/>
      <c r="BD937" s="110"/>
      <c r="BE937" s="109"/>
      <c r="BF937" s="111"/>
      <c r="BG937" s="109"/>
      <c r="BH937" s="109"/>
      <c r="BI937" s="110"/>
      <c r="BJ937" s="109"/>
      <c r="BK937" s="111"/>
      <c r="BL937" s="109"/>
      <c r="BM937" s="109"/>
      <c r="BN937" s="110"/>
      <c r="BO937" s="109"/>
      <c r="BP937" s="111"/>
      <c r="BQ937" s="109"/>
      <c r="BR937" s="109"/>
      <c r="BS937" s="110"/>
      <c r="BT937" s="109"/>
      <c r="BU937" s="111"/>
      <c r="BV937" s="109"/>
      <c r="BW937" s="109"/>
      <c r="BX937" s="110"/>
      <c r="BY937" s="109"/>
      <c r="BZ937" s="111"/>
      <c r="CA937" s="109"/>
      <c r="CB937" s="109"/>
      <c r="CC937" s="110"/>
      <c r="CD937" s="109"/>
      <c r="CE937" s="111"/>
      <c r="CF937" s="109"/>
      <c r="CG937" s="109"/>
      <c r="CH937" s="110"/>
      <c r="CI937" s="109"/>
      <c r="CJ937" s="111"/>
      <c r="CK937" s="109"/>
      <c r="CL937" s="109"/>
      <c r="CM937" s="110"/>
      <c r="CN937" s="109"/>
      <c r="CO937" s="111"/>
      <c r="CP937" s="109"/>
      <c r="CQ937" s="109"/>
      <c r="CR937" s="110"/>
      <c r="CS937" s="109"/>
      <c r="CT937" s="111"/>
      <c r="CU937" s="109"/>
      <c r="CV937" s="109"/>
      <c r="CW937" s="110"/>
      <c r="CX937" s="109"/>
      <c r="CY937" s="111"/>
      <c r="CZ937" s="109"/>
      <c r="DA937" s="109"/>
      <c r="DB937" s="110"/>
      <c r="DC937" s="109"/>
      <c r="DD937" s="111"/>
      <c r="DE937" s="109"/>
      <c r="DF937" s="109"/>
      <c r="DG937" s="110"/>
      <c r="DH937" s="109"/>
      <c r="DI937" s="111"/>
      <c r="DJ937" s="109"/>
      <c r="DK937" s="109"/>
      <c r="DL937" s="110"/>
      <c r="DM937" s="109"/>
      <c r="DN937" s="111"/>
      <c r="DO937" s="109"/>
      <c r="DP937" s="109"/>
      <c r="DQ937" s="110"/>
      <c r="DR937" s="109"/>
      <c r="DS937" s="111"/>
      <c r="DT937" s="109"/>
      <c r="DU937" s="109"/>
      <c r="DV937" s="110"/>
      <c r="DW937" s="109"/>
      <c r="DX937" s="111"/>
      <c r="DY937" s="109"/>
      <c r="DZ937" s="109"/>
      <c r="EA937" s="110"/>
      <c r="EB937" s="109"/>
      <c r="EC937" s="111"/>
      <c r="ED937" s="109"/>
      <c r="EE937" s="109"/>
      <c r="EF937" s="110"/>
      <c r="EG937" s="109"/>
      <c r="EH937" s="111"/>
      <c r="EI937" s="109"/>
      <c r="EJ937" s="109"/>
      <c r="EK937" s="110"/>
      <c r="EL937" s="109"/>
      <c r="EM937" s="111"/>
      <c r="EN937" s="109"/>
      <c r="EO937" s="109"/>
      <c r="EP937" s="110"/>
      <c r="EQ937" s="109"/>
      <c r="ER937" s="111"/>
      <c r="ES937" s="109"/>
      <c r="ET937" s="109"/>
      <c r="EU937" s="110"/>
      <c r="EV937" s="109"/>
      <c r="EW937" s="111"/>
      <c r="EX937" s="109"/>
      <c r="EY937" s="109"/>
      <c r="EZ937" s="110"/>
      <c r="FA937" s="109"/>
      <c r="FB937" s="111"/>
      <c r="FC937" s="109"/>
      <c r="FD937" s="109"/>
      <c r="FE937" s="110"/>
      <c r="FF937" s="109"/>
      <c r="FG937" s="111"/>
      <c r="FH937" s="109"/>
      <c r="FI937" s="109"/>
      <c r="FJ937" s="110"/>
      <c r="FK937" s="109"/>
      <c r="FL937" s="111"/>
      <c r="FM937" s="109"/>
      <c r="FN937" s="109"/>
      <c r="FO937" s="110"/>
      <c r="FP937" s="109"/>
      <c r="FQ937" s="111"/>
      <c r="FR937" s="109"/>
      <c r="FS937" s="109"/>
      <c r="FT937" s="110"/>
      <c r="FU937" s="109"/>
      <c r="FV937" s="111"/>
      <c r="FW937" s="109"/>
      <c r="FX937" s="109"/>
      <c r="FY937" s="110"/>
      <c r="FZ937" s="109"/>
      <c r="GA937" s="111"/>
      <c r="GB937" s="109"/>
      <c r="GC937" s="109"/>
      <c r="GD937" s="110"/>
      <c r="GE937" s="109"/>
      <c r="GF937" s="111"/>
      <c r="GG937" s="109"/>
      <c r="GH937" s="109"/>
      <c r="GI937" s="110"/>
      <c r="GJ937" s="109"/>
      <c r="GK937" s="111"/>
      <c r="GL937" s="109"/>
      <c r="GM937" s="109"/>
      <c r="GN937" s="110"/>
      <c r="GO937" s="109"/>
      <c r="GP937" s="111"/>
      <c r="GQ937" s="109"/>
      <c r="GR937" s="109"/>
      <c r="GS937" s="110"/>
      <c r="GT937" s="109"/>
      <c r="GU937" s="111"/>
      <c r="GV937" s="109"/>
      <c r="GW937" s="109"/>
      <c r="GX937" s="110"/>
      <c r="GY937" s="109"/>
      <c r="GZ937" s="111"/>
      <c r="HA937" s="109"/>
      <c r="HB937" s="109"/>
      <c r="HC937" s="110"/>
      <c r="HD937" s="109"/>
      <c r="HE937" s="111"/>
      <c r="HF937" s="109"/>
      <c r="HG937" s="109"/>
      <c r="HH937" s="110"/>
      <c r="HI937" s="109"/>
      <c r="HJ937" s="111"/>
      <c r="HK937" s="109"/>
      <c r="HL937" s="109"/>
      <c r="HM937" s="110"/>
      <c r="HN937" s="109"/>
      <c r="HO937" s="111"/>
      <c r="HP937" s="109"/>
      <c r="HQ937" s="109"/>
      <c r="HR937" s="110"/>
      <c r="HS937" s="109"/>
      <c r="HT937" s="111"/>
      <c r="HU937" s="109"/>
      <c r="HV937" s="109"/>
      <c r="HW937" s="110"/>
      <c r="HX937" s="109"/>
      <c r="HY937" s="111"/>
      <c r="HZ937" s="109"/>
      <c r="IA937" s="109"/>
      <c r="IB937" s="110"/>
      <c r="IC937" s="109"/>
      <c r="ID937" s="111"/>
      <c r="IE937" s="109"/>
      <c r="IF937" s="109"/>
      <c r="IG937" s="110"/>
      <c r="IH937" s="109"/>
      <c r="II937" s="111"/>
      <c r="IJ937" s="109"/>
      <c r="IK937" s="109"/>
      <c r="IL937" s="110"/>
      <c r="IM937" s="109"/>
      <c r="IN937" s="111"/>
      <c r="IO937" s="109"/>
      <c r="IP937" s="109"/>
      <c r="IQ937" s="110"/>
      <c r="IR937" s="109"/>
      <c r="IS937" s="111"/>
      <c r="IT937" s="109"/>
      <c r="IU937" s="109"/>
      <c r="IV937" s="110"/>
    </row>
    <row r="938" spans="1:256" s="123" customFormat="1" ht="14.25">
      <c r="A938" s="134">
        <v>37214</v>
      </c>
      <c r="B938" s="111">
        <v>80.5152</v>
      </c>
      <c r="C938" s="111">
        <f t="shared" si="15"/>
        <v>0.0805152</v>
      </c>
      <c r="D938" s="111">
        <v>48.5319</v>
      </c>
      <c r="E938" s="111">
        <v>54.8693</v>
      </c>
      <c r="F938" s="131"/>
      <c r="G938" s="109"/>
      <c r="H938" s="111"/>
      <c r="I938" s="109"/>
      <c r="J938" s="109"/>
      <c r="K938" s="110"/>
      <c r="L938" s="109"/>
      <c r="M938" s="111"/>
      <c r="N938" s="109"/>
      <c r="O938" s="109"/>
      <c r="P938" s="110"/>
      <c r="Q938" s="109"/>
      <c r="R938" s="111"/>
      <c r="S938" s="109"/>
      <c r="T938" s="109"/>
      <c r="U938" s="110"/>
      <c r="V938" s="109"/>
      <c r="W938" s="111"/>
      <c r="X938" s="109"/>
      <c r="Y938" s="109"/>
      <c r="Z938" s="110"/>
      <c r="AA938" s="109"/>
      <c r="AB938" s="111"/>
      <c r="AC938" s="109"/>
      <c r="AD938" s="109"/>
      <c r="AE938" s="110"/>
      <c r="AF938" s="109"/>
      <c r="AG938" s="111"/>
      <c r="AH938" s="109"/>
      <c r="AI938" s="109"/>
      <c r="AJ938" s="110"/>
      <c r="AK938" s="109"/>
      <c r="AL938" s="111"/>
      <c r="AM938" s="109"/>
      <c r="AN938" s="109"/>
      <c r="AO938" s="110"/>
      <c r="AP938" s="109"/>
      <c r="AQ938" s="111"/>
      <c r="AR938" s="109"/>
      <c r="AS938" s="109"/>
      <c r="AT938" s="110"/>
      <c r="AU938" s="109"/>
      <c r="AV938" s="111"/>
      <c r="AW938" s="109"/>
      <c r="AX938" s="109"/>
      <c r="AY938" s="110"/>
      <c r="AZ938" s="109"/>
      <c r="BA938" s="111"/>
      <c r="BB938" s="109"/>
      <c r="BC938" s="109"/>
      <c r="BD938" s="110"/>
      <c r="BE938" s="109"/>
      <c r="BF938" s="111"/>
      <c r="BG938" s="109"/>
      <c r="BH938" s="109"/>
      <c r="BI938" s="110"/>
      <c r="BJ938" s="109"/>
      <c r="BK938" s="111"/>
      <c r="BL938" s="109"/>
      <c r="BM938" s="109"/>
      <c r="BN938" s="110"/>
      <c r="BO938" s="109"/>
      <c r="BP938" s="111"/>
      <c r="BQ938" s="109"/>
      <c r="BR938" s="109"/>
      <c r="BS938" s="110"/>
      <c r="BT938" s="109"/>
      <c r="BU938" s="111"/>
      <c r="BV938" s="109"/>
      <c r="BW938" s="109"/>
      <c r="BX938" s="110"/>
      <c r="BY938" s="109"/>
      <c r="BZ938" s="111"/>
      <c r="CA938" s="109"/>
      <c r="CB938" s="109"/>
      <c r="CC938" s="110"/>
      <c r="CD938" s="109"/>
      <c r="CE938" s="111"/>
      <c r="CF938" s="109"/>
      <c r="CG938" s="109"/>
      <c r="CH938" s="110"/>
      <c r="CI938" s="109"/>
      <c r="CJ938" s="111"/>
      <c r="CK938" s="109"/>
      <c r="CL938" s="109"/>
      <c r="CM938" s="110"/>
      <c r="CN938" s="109"/>
      <c r="CO938" s="111"/>
      <c r="CP938" s="109"/>
      <c r="CQ938" s="109"/>
      <c r="CR938" s="110"/>
      <c r="CS938" s="109"/>
      <c r="CT938" s="111"/>
      <c r="CU938" s="109"/>
      <c r="CV938" s="109"/>
      <c r="CW938" s="110"/>
      <c r="CX938" s="109"/>
      <c r="CY938" s="111"/>
      <c r="CZ938" s="109"/>
      <c r="DA938" s="109"/>
      <c r="DB938" s="110"/>
      <c r="DC938" s="109"/>
      <c r="DD938" s="111"/>
      <c r="DE938" s="109"/>
      <c r="DF938" s="109"/>
      <c r="DG938" s="110"/>
      <c r="DH938" s="109"/>
      <c r="DI938" s="111"/>
      <c r="DJ938" s="109"/>
      <c r="DK938" s="109"/>
      <c r="DL938" s="110"/>
      <c r="DM938" s="109"/>
      <c r="DN938" s="111"/>
      <c r="DO938" s="109"/>
      <c r="DP938" s="109"/>
      <c r="DQ938" s="110"/>
      <c r="DR938" s="109"/>
      <c r="DS938" s="111"/>
      <c r="DT938" s="109"/>
      <c r="DU938" s="109"/>
      <c r="DV938" s="110"/>
      <c r="DW938" s="109"/>
      <c r="DX938" s="111"/>
      <c r="DY938" s="109"/>
      <c r="DZ938" s="109"/>
      <c r="EA938" s="110"/>
      <c r="EB938" s="109"/>
      <c r="EC938" s="111"/>
      <c r="ED938" s="109"/>
      <c r="EE938" s="109"/>
      <c r="EF938" s="110"/>
      <c r="EG938" s="109"/>
      <c r="EH938" s="111"/>
      <c r="EI938" s="109"/>
      <c r="EJ938" s="109"/>
      <c r="EK938" s="110"/>
      <c r="EL938" s="109"/>
      <c r="EM938" s="111"/>
      <c r="EN938" s="109"/>
      <c r="EO938" s="109"/>
      <c r="EP938" s="110"/>
      <c r="EQ938" s="109"/>
      <c r="ER938" s="111"/>
      <c r="ES938" s="109"/>
      <c r="ET938" s="109"/>
      <c r="EU938" s="110"/>
      <c r="EV938" s="109"/>
      <c r="EW938" s="111"/>
      <c r="EX938" s="109"/>
      <c r="EY938" s="109"/>
      <c r="EZ938" s="110"/>
      <c r="FA938" s="109"/>
      <c r="FB938" s="111"/>
      <c r="FC938" s="109"/>
      <c r="FD938" s="109"/>
      <c r="FE938" s="110"/>
      <c r="FF938" s="109"/>
      <c r="FG938" s="111"/>
      <c r="FH938" s="109"/>
      <c r="FI938" s="109"/>
      <c r="FJ938" s="110"/>
      <c r="FK938" s="109"/>
      <c r="FL938" s="111"/>
      <c r="FM938" s="109"/>
      <c r="FN938" s="109"/>
      <c r="FO938" s="110"/>
      <c r="FP938" s="109"/>
      <c r="FQ938" s="111"/>
      <c r="FR938" s="109"/>
      <c r="FS938" s="109"/>
      <c r="FT938" s="110"/>
      <c r="FU938" s="109"/>
      <c r="FV938" s="111"/>
      <c r="FW938" s="109"/>
      <c r="FX938" s="109"/>
      <c r="FY938" s="110"/>
      <c r="FZ938" s="109"/>
      <c r="GA938" s="111"/>
      <c r="GB938" s="109"/>
      <c r="GC938" s="109"/>
      <c r="GD938" s="110"/>
      <c r="GE938" s="109"/>
      <c r="GF938" s="111"/>
      <c r="GG938" s="109"/>
      <c r="GH938" s="109"/>
      <c r="GI938" s="110"/>
      <c r="GJ938" s="109"/>
      <c r="GK938" s="111"/>
      <c r="GL938" s="109"/>
      <c r="GM938" s="109"/>
      <c r="GN938" s="110"/>
      <c r="GO938" s="109"/>
      <c r="GP938" s="111"/>
      <c r="GQ938" s="109"/>
      <c r="GR938" s="109"/>
      <c r="GS938" s="110"/>
      <c r="GT938" s="109"/>
      <c r="GU938" s="111"/>
      <c r="GV938" s="109"/>
      <c r="GW938" s="109"/>
      <c r="GX938" s="110"/>
      <c r="GY938" s="109"/>
      <c r="GZ938" s="111"/>
      <c r="HA938" s="109"/>
      <c r="HB938" s="109"/>
      <c r="HC938" s="110"/>
      <c r="HD938" s="109"/>
      <c r="HE938" s="111"/>
      <c r="HF938" s="109"/>
      <c r="HG938" s="109"/>
      <c r="HH938" s="110"/>
      <c r="HI938" s="109"/>
      <c r="HJ938" s="111"/>
      <c r="HK938" s="109"/>
      <c r="HL938" s="109"/>
      <c r="HM938" s="110"/>
      <c r="HN938" s="109"/>
      <c r="HO938" s="111"/>
      <c r="HP938" s="109"/>
      <c r="HQ938" s="109"/>
      <c r="HR938" s="110"/>
      <c r="HS938" s="109"/>
      <c r="HT938" s="111"/>
      <c r="HU938" s="109"/>
      <c r="HV938" s="109"/>
      <c r="HW938" s="110"/>
      <c r="HX938" s="109"/>
      <c r="HY938" s="111"/>
      <c r="HZ938" s="109"/>
      <c r="IA938" s="109"/>
      <c r="IB938" s="110"/>
      <c r="IC938" s="109"/>
      <c r="ID938" s="111"/>
      <c r="IE938" s="109"/>
      <c r="IF938" s="109"/>
      <c r="IG938" s="110"/>
      <c r="IH938" s="109"/>
      <c r="II938" s="111"/>
      <c r="IJ938" s="109"/>
      <c r="IK938" s="109"/>
      <c r="IL938" s="110"/>
      <c r="IM938" s="109"/>
      <c r="IN938" s="111"/>
      <c r="IO938" s="109"/>
      <c r="IP938" s="109"/>
      <c r="IQ938" s="110"/>
      <c r="IR938" s="109"/>
      <c r="IS938" s="111"/>
      <c r="IT938" s="109"/>
      <c r="IU938" s="109"/>
      <c r="IV938" s="110"/>
    </row>
    <row r="939" spans="1:256" s="123" customFormat="1" ht="14.25">
      <c r="A939" s="134">
        <v>37215</v>
      </c>
      <c r="B939" s="111">
        <v>65.9686</v>
      </c>
      <c r="C939" s="111">
        <f t="shared" si="15"/>
        <v>0.0659686</v>
      </c>
      <c r="D939" s="111">
        <v>39.592</v>
      </c>
      <c r="E939" s="111">
        <v>45.0267</v>
      </c>
      <c r="F939" s="131"/>
      <c r="G939" s="109"/>
      <c r="H939" s="111"/>
      <c r="I939" s="109"/>
      <c r="J939" s="109"/>
      <c r="K939" s="110"/>
      <c r="L939" s="109"/>
      <c r="M939" s="111"/>
      <c r="N939" s="109"/>
      <c r="O939" s="109"/>
      <c r="P939" s="110"/>
      <c r="Q939" s="109"/>
      <c r="R939" s="111"/>
      <c r="S939" s="109"/>
      <c r="T939" s="109"/>
      <c r="U939" s="110"/>
      <c r="V939" s="109"/>
      <c r="W939" s="111"/>
      <c r="X939" s="109"/>
      <c r="Y939" s="109"/>
      <c r="Z939" s="110"/>
      <c r="AA939" s="109"/>
      <c r="AB939" s="111"/>
      <c r="AC939" s="109"/>
      <c r="AD939" s="109"/>
      <c r="AE939" s="110"/>
      <c r="AF939" s="109"/>
      <c r="AG939" s="111"/>
      <c r="AH939" s="109"/>
      <c r="AI939" s="109"/>
      <c r="AJ939" s="110"/>
      <c r="AK939" s="109"/>
      <c r="AL939" s="111"/>
      <c r="AM939" s="109"/>
      <c r="AN939" s="109"/>
      <c r="AO939" s="110"/>
      <c r="AP939" s="109"/>
      <c r="AQ939" s="111"/>
      <c r="AR939" s="109"/>
      <c r="AS939" s="109"/>
      <c r="AT939" s="110"/>
      <c r="AU939" s="109"/>
      <c r="AV939" s="111"/>
      <c r="AW939" s="109"/>
      <c r="AX939" s="109"/>
      <c r="AY939" s="110"/>
      <c r="AZ939" s="109"/>
      <c r="BA939" s="111"/>
      <c r="BB939" s="109"/>
      <c r="BC939" s="109"/>
      <c r="BD939" s="110"/>
      <c r="BE939" s="109"/>
      <c r="BF939" s="111"/>
      <c r="BG939" s="109"/>
      <c r="BH939" s="109"/>
      <c r="BI939" s="110"/>
      <c r="BJ939" s="109"/>
      <c r="BK939" s="111"/>
      <c r="BL939" s="109"/>
      <c r="BM939" s="109"/>
      <c r="BN939" s="110"/>
      <c r="BO939" s="109"/>
      <c r="BP939" s="111"/>
      <c r="BQ939" s="109"/>
      <c r="BR939" s="109"/>
      <c r="BS939" s="110"/>
      <c r="BT939" s="109"/>
      <c r="BU939" s="111"/>
      <c r="BV939" s="109"/>
      <c r="BW939" s="109"/>
      <c r="BX939" s="110"/>
      <c r="BY939" s="109"/>
      <c r="BZ939" s="111"/>
      <c r="CA939" s="109"/>
      <c r="CB939" s="109"/>
      <c r="CC939" s="110"/>
      <c r="CD939" s="109"/>
      <c r="CE939" s="111"/>
      <c r="CF939" s="109"/>
      <c r="CG939" s="109"/>
      <c r="CH939" s="110"/>
      <c r="CI939" s="109"/>
      <c r="CJ939" s="111"/>
      <c r="CK939" s="109"/>
      <c r="CL939" s="109"/>
      <c r="CM939" s="110"/>
      <c r="CN939" s="109"/>
      <c r="CO939" s="111"/>
      <c r="CP939" s="109"/>
      <c r="CQ939" s="109"/>
      <c r="CR939" s="110"/>
      <c r="CS939" s="109"/>
      <c r="CT939" s="111"/>
      <c r="CU939" s="109"/>
      <c r="CV939" s="109"/>
      <c r="CW939" s="110"/>
      <c r="CX939" s="109"/>
      <c r="CY939" s="111"/>
      <c r="CZ939" s="109"/>
      <c r="DA939" s="109"/>
      <c r="DB939" s="110"/>
      <c r="DC939" s="109"/>
      <c r="DD939" s="111"/>
      <c r="DE939" s="109"/>
      <c r="DF939" s="109"/>
      <c r="DG939" s="110"/>
      <c r="DH939" s="109"/>
      <c r="DI939" s="111"/>
      <c r="DJ939" s="109"/>
      <c r="DK939" s="109"/>
      <c r="DL939" s="110"/>
      <c r="DM939" s="109"/>
      <c r="DN939" s="111"/>
      <c r="DO939" s="109"/>
      <c r="DP939" s="109"/>
      <c r="DQ939" s="110"/>
      <c r="DR939" s="109"/>
      <c r="DS939" s="111"/>
      <c r="DT939" s="109"/>
      <c r="DU939" s="109"/>
      <c r="DV939" s="110"/>
      <c r="DW939" s="109"/>
      <c r="DX939" s="111"/>
      <c r="DY939" s="109"/>
      <c r="DZ939" s="109"/>
      <c r="EA939" s="110"/>
      <c r="EB939" s="109"/>
      <c r="EC939" s="111"/>
      <c r="ED939" s="109"/>
      <c r="EE939" s="109"/>
      <c r="EF939" s="110"/>
      <c r="EG939" s="109"/>
      <c r="EH939" s="111"/>
      <c r="EI939" s="109"/>
      <c r="EJ939" s="109"/>
      <c r="EK939" s="110"/>
      <c r="EL939" s="109"/>
      <c r="EM939" s="111"/>
      <c r="EN939" s="109"/>
      <c r="EO939" s="109"/>
      <c r="EP939" s="110"/>
      <c r="EQ939" s="109"/>
      <c r="ER939" s="111"/>
      <c r="ES939" s="109"/>
      <c r="ET939" s="109"/>
      <c r="EU939" s="110"/>
      <c r="EV939" s="109"/>
      <c r="EW939" s="111"/>
      <c r="EX939" s="109"/>
      <c r="EY939" s="109"/>
      <c r="EZ939" s="110"/>
      <c r="FA939" s="109"/>
      <c r="FB939" s="111"/>
      <c r="FC939" s="109"/>
      <c r="FD939" s="109"/>
      <c r="FE939" s="110"/>
      <c r="FF939" s="109"/>
      <c r="FG939" s="111"/>
      <c r="FH939" s="109"/>
      <c r="FI939" s="109"/>
      <c r="FJ939" s="110"/>
      <c r="FK939" s="109"/>
      <c r="FL939" s="111"/>
      <c r="FM939" s="109"/>
      <c r="FN939" s="109"/>
      <c r="FO939" s="110"/>
      <c r="FP939" s="109"/>
      <c r="FQ939" s="111"/>
      <c r="FR939" s="109"/>
      <c r="FS939" s="109"/>
      <c r="FT939" s="110"/>
      <c r="FU939" s="109"/>
      <c r="FV939" s="111"/>
      <c r="FW939" s="109"/>
      <c r="FX939" s="109"/>
      <c r="FY939" s="110"/>
      <c r="FZ939" s="109"/>
      <c r="GA939" s="111"/>
      <c r="GB939" s="109"/>
      <c r="GC939" s="109"/>
      <c r="GD939" s="110"/>
      <c r="GE939" s="109"/>
      <c r="GF939" s="111"/>
      <c r="GG939" s="109"/>
      <c r="GH939" s="109"/>
      <c r="GI939" s="110"/>
      <c r="GJ939" s="109"/>
      <c r="GK939" s="111"/>
      <c r="GL939" s="109"/>
      <c r="GM939" s="109"/>
      <c r="GN939" s="110"/>
      <c r="GO939" s="109"/>
      <c r="GP939" s="111"/>
      <c r="GQ939" s="109"/>
      <c r="GR939" s="109"/>
      <c r="GS939" s="110"/>
      <c r="GT939" s="109"/>
      <c r="GU939" s="111"/>
      <c r="GV939" s="109"/>
      <c r="GW939" s="109"/>
      <c r="GX939" s="110"/>
      <c r="GY939" s="109"/>
      <c r="GZ939" s="111"/>
      <c r="HA939" s="109"/>
      <c r="HB939" s="109"/>
      <c r="HC939" s="110"/>
      <c r="HD939" s="109"/>
      <c r="HE939" s="111"/>
      <c r="HF939" s="109"/>
      <c r="HG939" s="109"/>
      <c r="HH939" s="110"/>
      <c r="HI939" s="109"/>
      <c r="HJ939" s="111"/>
      <c r="HK939" s="109"/>
      <c r="HL939" s="109"/>
      <c r="HM939" s="110"/>
      <c r="HN939" s="109"/>
      <c r="HO939" s="111"/>
      <c r="HP939" s="109"/>
      <c r="HQ939" s="109"/>
      <c r="HR939" s="110"/>
      <c r="HS939" s="109"/>
      <c r="HT939" s="111"/>
      <c r="HU939" s="109"/>
      <c r="HV939" s="109"/>
      <c r="HW939" s="110"/>
      <c r="HX939" s="109"/>
      <c r="HY939" s="111"/>
      <c r="HZ939" s="109"/>
      <c r="IA939" s="109"/>
      <c r="IB939" s="110"/>
      <c r="IC939" s="109"/>
      <c r="ID939" s="111"/>
      <c r="IE939" s="109"/>
      <c r="IF939" s="109"/>
      <c r="IG939" s="110"/>
      <c r="IH939" s="109"/>
      <c r="II939" s="111"/>
      <c r="IJ939" s="109"/>
      <c r="IK939" s="109"/>
      <c r="IL939" s="110"/>
      <c r="IM939" s="109"/>
      <c r="IN939" s="111"/>
      <c r="IO939" s="109"/>
      <c r="IP939" s="109"/>
      <c r="IQ939" s="110"/>
      <c r="IR939" s="109"/>
      <c r="IS939" s="111"/>
      <c r="IT939" s="109"/>
      <c r="IU939" s="109"/>
      <c r="IV939" s="110"/>
    </row>
    <row r="940" spans="1:256" s="123" customFormat="1" ht="14.25">
      <c r="A940" s="134">
        <v>37216</v>
      </c>
      <c r="B940" s="111">
        <v>67.9416</v>
      </c>
      <c r="C940" s="111">
        <f t="shared" si="15"/>
        <v>0.06794159999999999</v>
      </c>
      <c r="D940" s="111">
        <v>41.1191</v>
      </c>
      <c r="E940" s="111">
        <v>46.5992</v>
      </c>
      <c r="F940" s="131"/>
      <c r="G940" s="109"/>
      <c r="H940" s="111"/>
      <c r="I940" s="109"/>
      <c r="J940" s="109"/>
      <c r="K940" s="110"/>
      <c r="L940" s="109"/>
      <c r="M940" s="111"/>
      <c r="N940" s="109"/>
      <c r="O940" s="109"/>
      <c r="P940" s="110"/>
      <c r="Q940" s="109"/>
      <c r="R940" s="111"/>
      <c r="S940" s="109"/>
      <c r="T940" s="109"/>
      <c r="U940" s="110"/>
      <c r="V940" s="109"/>
      <c r="W940" s="111"/>
      <c r="X940" s="109"/>
      <c r="Y940" s="109"/>
      <c r="Z940" s="110"/>
      <c r="AA940" s="109"/>
      <c r="AB940" s="111"/>
      <c r="AC940" s="109"/>
      <c r="AD940" s="109"/>
      <c r="AE940" s="110"/>
      <c r="AF940" s="109"/>
      <c r="AG940" s="111"/>
      <c r="AH940" s="109"/>
      <c r="AI940" s="109"/>
      <c r="AJ940" s="110"/>
      <c r="AK940" s="109"/>
      <c r="AL940" s="111"/>
      <c r="AM940" s="109"/>
      <c r="AN940" s="109"/>
      <c r="AO940" s="110"/>
      <c r="AP940" s="109"/>
      <c r="AQ940" s="111"/>
      <c r="AR940" s="109"/>
      <c r="AS940" s="109"/>
      <c r="AT940" s="110"/>
      <c r="AU940" s="109"/>
      <c r="AV940" s="111"/>
      <c r="AW940" s="109"/>
      <c r="AX940" s="109"/>
      <c r="AY940" s="110"/>
      <c r="AZ940" s="109"/>
      <c r="BA940" s="111"/>
      <c r="BB940" s="109"/>
      <c r="BC940" s="109"/>
      <c r="BD940" s="110"/>
      <c r="BE940" s="109"/>
      <c r="BF940" s="111"/>
      <c r="BG940" s="109"/>
      <c r="BH940" s="109"/>
      <c r="BI940" s="110"/>
      <c r="BJ940" s="109"/>
      <c r="BK940" s="111"/>
      <c r="BL940" s="109"/>
      <c r="BM940" s="109"/>
      <c r="BN940" s="110"/>
      <c r="BO940" s="109"/>
      <c r="BP940" s="111"/>
      <c r="BQ940" s="109"/>
      <c r="BR940" s="109"/>
      <c r="BS940" s="110"/>
      <c r="BT940" s="109"/>
      <c r="BU940" s="111"/>
      <c r="BV940" s="109"/>
      <c r="BW940" s="109"/>
      <c r="BX940" s="110"/>
      <c r="BY940" s="109"/>
      <c r="BZ940" s="111"/>
      <c r="CA940" s="109"/>
      <c r="CB940" s="109"/>
      <c r="CC940" s="110"/>
      <c r="CD940" s="109"/>
      <c r="CE940" s="111"/>
      <c r="CF940" s="109"/>
      <c r="CG940" s="109"/>
      <c r="CH940" s="110"/>
      <c r="CI940" s="109"/>
      <c r="CJ940" s="111"/>
      <c r="CK940" s="109"/>
      <c r="CL940" s="109"/>
      <c r="CM940" s="110"/>
      <c r="CN940" s="109"/>
      <c r="CO940" s="111"/>
      <c r="CP940" s="109"/>
      <c r="CQ940" s="109"/>
      <c r="CR940" s="110"/>
      <c r="CS940" s="109"/>
      <c r="CT940" s="111"/>
      <c r="CU940" s="109"/>
      <c r="CV940" s="109"/>
      <c r="CW940" s="110"/>
      <c r="CX940" s="109"/>
      <c r="CY940" s="111"/>
      <c r="CZ940" s="109"/>
      <c r="DA940" s="109"/>
      <c r="DB940" s="110"/>
      <c r="DC940" s="109"/>
      <c r="DD940" s="111"/>
      <c r="DE940" s="109"/>
      <c r="DF940" s="109"/>
      <c r="DG940" s="110"/>
      <c r="DH940" s="109"/>
      <c r="DI940" s="111"/>
      <c r="DJ940" s="109"/>
      <c r="DK940" s="109"/>
      <c r="DL940" s="110"/>
      <c r="DM940" s="109"/>
      <c r="DN940" s="111"/>
      <c r="DO940" s="109"/>
      <c r="DP940" s="109"/>
      <c r="DQ940" s="110"/>
      <c r="DR940" s="109"/>
      <c r="DS940" s="111"/>
      <c r="DT940" s="109"/>
      <c r="DU940" s="109"/>
      <c r="DV940" s="110"/>
      <c r="DW940" s="109"/>
      <c r="DX940" s="111"/>
      <c r="DY940" s="109"/>
      <c r="DZ940" s="109"/>
      <c r="EA940" s="110"/>
      <c r="EB940" s="109"/>
      <c r="EC940" s="111"/>
      <c r="ED940" s="109"/>
      <c r="EE940" s="109"/>
      <c r="EF940" s="110"/>
      <c r="EG940" s="109"/>
      <c r="EH940" s="111"/>
      <c r="EI940" s="109"/>
      <c r="EJ940" s="109"/>
      <c r="EK940" s="110"/>
      <c r="EL940" s="109"/>
      <c r="EM940" s="111"/>
      <c r="EN940" s="109"/>
      <c r="EO940" s="109"/>
      <c r="EP940" s="110"/>
      <c r="EQ940" s="109"/>
      <c r="ER940" s="111"/>
      <c r="ES940" s="109"/>
      <c r="ET940" s="109"/>
      <c r="EU940" s="110"/>
      <c r="EV940" s="109"/>
      <c r="EW940" s="111"/>
      <c r="EX940" s="109"/>
      <c r="EY940" s="109"/>
      <c r="EZ940" s="110"/>
      <c r="FA940" s="109"/>
      <c r="FB940" s="111"/>
      <c r="FC940" s="109"/>
      <c r="FD940" s="109"/>
      <c r="FE940" s="110"/>
      <c r="FF940" s="109"/>
      <c r="FG940" s="111"/>
      <c r="FH940" s="109"/>
      <c r="FI940" s="109"/>
      <c r="FJ940" s="110"/>
      <c r="FK940" s="109"/>
      <c r="FL940" s="111"/>
      <c r="FM940" s="109"/>
      <c r="FN940" s="109"/>
      <c r="FO940" s="110"/>
      <c r="FP940" s="109"/>
      <c r="FQ940" s="111"/>
      <c r="FR940" s="109"/>
      <c r="FS940" s="109"/>
      <c r="FT940" s="110"/>
      <c r="FU940" s="109"/>
      <c r="FV940" s="111"/>
      <c r="FW940" s="109"/>
      <c r="FX940" s="109"/>
      <c r="FY940" s="110"/>
      <c r="FZ940" s="109"/>
      <c r="GA940" s="111"/>
      <c r="GB940" s="109"/>
      <c r="GC940" s="109"/>
      <c r="GD940" s="110"/>
      <c r="GE940" s="109"/>
      <c r="GF940" s="111"/>
      <c r="GG940" s="109"/>
      <c r="GH940" s="109"/>
      <c r="GI940" s="110"/>
      <c r="GJ940" s="109"/>
      <c r="GK940" s="111"/>
      <c r="GL940" s="109"/>
      <c r="GM940" s="109"/>
      <c r="GN940" s="110"/>
      <c r="GO940" s="109"/>
      <c r="GP940" s="111"/>
      <c r="GQ940" s="109"/>
      <c r="GR940" s="109"/>
      <c r="GS940" s="110"/>
      <c r="GT940" s="109"/>
      <c r="GU940" s="111"/>
      <c r="GV940" s="109"/>
      <c r="GW940" s="109"/>
      <c r="GX940" s="110"/>
      <c r="GY940" s="109"/>
      <c r="GZ940" s="111"/>
      <c r="HA940" s="109"/>
      <c r="HB940" s="109"/>
      <c r="HC940" s="110"/>
      <c r="HD940" s="109"/>
      <c r="HE940" s="111"/>
      <c r="HF940" s="109"/>
      <c r="HG940" s="109"/>
      <c r="HH940" s="110"/>
      <c r="HI940" s="109"/>
      <c r="HJ940" s="111"/>
      <c r="HK940" s="109"/>
      <c r="HL940" s="109"/>
      <c r="HM940" s="110"/>
      <c r="HN940" s="109"/>
      <c r="HO940" s="111"/>
      <c r="HP940" s="109"/>
      <c r="HQ940" s="109"/>
      <c r="HR940" s="110"/>
      <c r="HS940" s="109"/>
      <c r="HT940" s="111"/>
      <c r="HU940" s="109"/>
      <c r="HV940" s="109"/>
      <c r="HW940" s="110"/>
      <c r="HX940" s="109"/>
      <c r="HY940" s="111"/>
      <c r="HZ940" s="109"/>
      <c r="IA940" s="109"/>
      <c r="IB940" s="110"/>
      <c r="IC940" s="109"/>
      <c r="ID940" s="111"/>
      <c r="IE940" s="109"/>
      <c r="IF940" s="109"/>
      <c r="IG940" s="110"/>
      <c r="IH940" s="109"/>
      <c r="II940" s="111"/>
      <c r="IJ940" s="109"/>
      <c r="IK940" s="109"/>
      <c r="IL940" s="110"/>
      <c r="IM940" s="109"/>
      <c r="IN940" s="111"/>
      <c r="IO940" s="109"/>
      <c r="IP940" s="109"/>
      <c r="IQ940" s="110"/>
      <c r="IR940" s="109"/>
      <c r="IS940" s="111"/>
      <c r="IT940" s="109"/>
      <c r="IU940" s="109"/>
      <c r="IV940" s="110"/>
    </row>
    <row r="941" spans="1:256" s="123" customFormat="1" ht="14.25">
      <c r="A941" s="134">
        <v>37217</v>
      </c>
      <c r="B941" s="111">
        <v>65.4289</v>
      </c>
      <c r="C941" s="111">
        <f t="shared" si="15"/>
        <v>0.0654289</v>
      </c>
      <c r="D941" s="111">
        <v>39.4693</v>
      </c>
      <c r="E941" s="111">
        <v>44.8973</v>
      </c>
      <c r="F941" s="131"/>
      <c r="G941" s="109"/>
      <c r="H941" s="111"/>
      <c r="I941" s="109"/>
      <c r="J941" s="109"/>
      <c r="K941" s="110"/>
      <c r="L941" s="109"/>
      <c r="M941" s="111"/>
      <c r="N941" s="109"/>
      <c r="O941" s="109"/>
      <c r="P941" s="110"/>
      <c r="Q941" s="109"/>
      <c r="R941" s="111"/>
      <c r="S941" s="109"/>
      <c r="T941" s="109"/>
      <c r="U941" s="110"/>
      <c r="V941" s="109"/>
      <c r="W941" s="111"/>
      <c r="X941" s="109"/>
      <c r="Y941" s="109"/>
      <c r="Z941" s="110"/>
      <c r="AA941" s="109"/>
      <c r="AB941" s="111"/>
      <c r="AC941" s="109"/>
      <c r="AD941" s="109"/>
      <c r="AE941" s="110"/>
      <c r="AF941" s="109"/>
      <c r="AG941" s="111"/>
      <c r="AH941" s="109"/>
      <c r="AI941" s="109"/>
      <c r="AJ941" s="110"/>
      <c r="AK941" s="109"/>
      <c r="AL941" s="111"/>
      <c r="AM941" s="109"/>
      <c r="AN941" s="109"/>
      <c r="AO941" s="110"/>
      <c r="AP941" s="109"/>
      <c r="AQ941" s="111"/>
      <c r="AR941" s="109"/>
      <c r="AS941" s="109"/>
      <c r="AT941" s="110"/>
      <c r="AU941" s="109"/>
      <c r="AV941" s="111"/>
      <c r="AW941" s="109"/>
      <c r="AX941" s="109"/>
      <c r="AY941" s="110"/>
      <c r="AZ941" s="109"/>
      <c r="BA941" s="111"/>
      <c r="BB941" s="109"/>
      <c r="BC941" s="109"/>
      <c r="BD941" s="110"/>
      <c r="BE941" s="109"/>
      <c r="BF941" s="111"/>
      <c r="BG941" s="109"/>
      <c r="BH941" s="109"/>
      <c r="BI941" s="110"/>
      <c r="BJ941" s="109"/>
      <c r="BK941" s="111"/>
      <c r="BL941" s="109"/>
      <c r="BM941" s="109"/>
      <c r="BN941" s="110"/>
      <c r="BO941" s="109"/>
      <c r="BP941" s="111"/>
      <c r="BQ941" s="109"/>
      <c r="BR941" s="109"/>
      <c r="BS941" s="110"/>
      <c r="BT941" s="109"/>
      <c r="BU941" s="111"/>
      <c r="BV941" s="109"/>
      <c r="BW941" s="109"/>
      <c r="BX941" s="110"/>
      <c r="BY941" s="109"/>
      <c r="BZ941" s="111"/>
      <c r="CA941" s="109"/>
      <c r="CB941" s="109"/>
      <c r="CC941" s="110"/>
      <c r="CD941" s="109"/>
      <c r="CE941" s="111"/>
      <c r="CF941" s="109"/>
      <c r="CG941" s="109"/>
      <c r="CH941" s="110"/>
      <c r="CI941" s="109"/>
      <c r="CJ941" s="111"/>
      <c r="CK941" s="109"/>
      <c r="CL941" s="109"/>
      <c r="CM941" s="110"/>
      <c r="CN941" s="109"/>
      <c r="CO941" s="111"/>
      <c r="CP941" s="109"/>
      <c r="CQ941" s="109"/>
      <c r="CR941" s="110"/>
      <c r="CS941" s="109"/>
      <c r="CT941" s="111"/>
      <c r="CU941" s="109"/>
      <c r="CV941" s="109"/>
      <c r="CW941" s="110"/>
      <c r="CX941" s="109"/>
      <c r="CY941" s="111"/>
      <c r="CZ941" s="109"/>
      <c r="DA941" s="109"/>
      <c r="DB941" s="110"/>
      <c r="DC941" s="109"/>
      <c r="DD941" s="111"/>
      <c r="DE941" s="109"/>
      <c r="DF941" s="109"/>
      <c r="DG941" s="110"/>
      <c r="DH941" s="109"/>
      <c r="DI941" s="111"/>
      <c r="DJ941" s="109"/>
      <c r="DK941" s="109"/>
      <c r="DL941" s="110"/>
      <c r="DM941" s="109"/>
      <c r="DN941" s="111"/>
      <c r="DO941" s="109"/>
      <c r="DP941" s="109"/>
      <c r="DQ941" s="110"/>
      <c r="DR941" s="109"/>
      <c r="DS941" s="111"/>
      <c r="DT941" s="109"/>
      <c r="DU941" s="109"/>
      <c r="DV941" s="110"/>
      <c r="DW941" s="109"/>
      <c r="DX941" s="111"/>
      <c r="DY941" s="109"/>
      <c r="DZ941" s="109"/>
      <c r="EA941" s="110"/>
      <c r="EB941" s="109"/>
      <c r="EC941" s="111"/>
      <c r="ED941" s="109"/>
      <c r="EE941" s="109"/>
      <c r="EF941" s="110"/>
      <c r="EG941" s="109"/>
      <c r="EH941" s="111"/>
      <c r="EI941" s="109"/>
      <c r="EJ941" s="109"/>
      <c r="EK941" s="110"/>
      <c r="EL941" s="109"/>
      <c r="EM941" s="111"/>
      <c r="EN941" s="109"/>
      <c r="EO941" s="109"/>
      <c r="EP941" s="110"/>
      <c r="EQ941" s="109"/>
      <c r="ER941" s="111"/>
      <c r="ES941" s="109"/>
      <c r="ET941" s="109"/>
      <c r="EU941" s="110"/>
      <c r="EV941" s="109"/>
      <c r="EW941" s="111"/>
      <c r="EX941" s="109"/>
      <c r="EY941" s="109"/>
      <c r="EZ941" s="110"/>
      <c r="FA941" s="109"/>
      <c r="FB941" s="111"/>
      <c r="FC941" s="109"/>
      <c r="FD941" s="109"/>
      <c r="FE941" s="110"/>
      <c r="FF941" s="109"/>
      <c r="FG941" s="111"/>
      <c r="FH941" s="109"/>
      <c r="FI941" s="109"/>
      <c r="FJ941" s="110"/>
      <c r="FK941" s="109"/>
      <c r="FL941" s="111"/>
      <c r="FM941" s="109"/>
      <c r="FN941" s="109"/>
      <c r="FO941" s="110"/>
      <c r="FP941" s="109"/>
      <c r="FQ941" s="111"/>
      <c r="FR941" s="109"/>
      <c r="FS941" s="109"/>
      <c r="FT941" s="110"/>
      <c r="FU941" s="109"/>
      <c r="FV941" s="111"/>
      <c r="FW941" s="109"/>
      <c r="FX941" s="109"/>
      <c r="FY941" s="110"/>
      <c r="FZ941" s="109"/>
      <c r="GA941" s="111"/>
      <c r="GB941" s="109"/>
      <c r="GC941" s="109"/>
      <c r="GD941" s="110"/>
      <c r="GE941" s="109"/>
      <c r="GF941" s="111"/>
      <c r="GG941" s="109"/>
      <c r="GH941" s="109"/>
      <c r="GI941" s="110"/>
      <c r="GJ941" s="109"/>
      <c r="GK941" s="111"/>
      <c r="GL941" s="109"/>
      <c r="GM941" s="109"/>
      <c r="GN941" s="110"/>
      <c r="GO941" s="109"/>
      <c r="GP941" s="111"/>
      <c r="GQ941" s="109"/>
      <c r="GR941" s="109"/>
      <c r="GS941" s="110"/>
      <c r="GT941" s="109"/>
      <c r="GU941" s="111"/>
      <c r="GV941" s="109"/>
      <c r="GW941" s="109"/>
      <c r="GX941" s="110"/>
      <c r="GY941" s="109"/>
      <c r="GZ941" s="111"/>
      <c r="HA941" s="109"/>
      <c r="HB941" s="109"/>
      <c r="HC941" s="110"/>
      <c r="HD941" s="109"/>
      <c r="HE941" s="111"/>
      <c r="HF941" s="109"/>
      <c r="HG941" s="109"/>
      <c r="HH941" s="110"/>
      <c r="HI941" s="109"/>
      <c r="HJ941" s="111"/>
      <c r="HK941" s="109"/>
      <c r="HL941" s="109"/>
      <c r="HM941" s="110"/>
      <c r="HN941" s="109"/>
      <c r="HO941" s="111"/>
      <c r="HP941" s="109"/>
      <c r="HQ941" s="109"/>
      <c r="HR941" s="110"/>
      <c r="HS941" s="109"/>
      <c r="HT941" s="111"/>
      <c r="HU941" s="109"/>
      <c r="HV941" s="109"/>
      <c r="HW941" s="110"/>
      <c r="HX941" s="109"/>
      <c r="HY941" s="111"/>
      <c r="HZ941" s="109"/>
      <c r="IA941" s="109"/>
      <c r="IB941" s="110"/>
      <c r="IC941" s="109"/>
      <c r="ID941" s="111"/>
      <c r="IE941" s="109"/>
      <c r="IF941" s="109"/>
      <c r="IG941" s="110"/>
      <c r="IH941" s="109"/>
      <c r="II941" s="111"/>
      <c r="IJ941" s="109"/>
      <c r="IK941" s="109"/>
      <c r="IL941" s="110"/>
      <c r="IM941" s="109"/>
      <c r="IN941" s="111"/>
      <c r="IO941" s="109"/>
      <c r="IP941" s="109"/>
      <c r="IQ941" s="110"/>
      <c r="IR941" s="109"/>
      <c r="IS941" s="111"/>
      <c r="IT941" s="109"/>
      <c r="IU941" s="109"/>
      <c r="IV941" s="110"/>
    </row>
    <row r="942" spans="1:256" s="123" customFormat="1" ht="14.25">
      <c r="A942" s="134">
        <v>37218</v>
      </c>
      <c r="B942" s="111">
        <v>63.8835</v>
      </c>
      <c r="C942" s="111">
        <f t="shared" si="15"/>
        <v>0.0638835</v>
      </c>
      <c r="D942" s="111">
        <v>38.4247</v>
      </c>
      <c r="E942" s="111">
        <v>43.7738</v>
      </c>
      <c r="F942" s="131"/>
      <c r="G942" s="109"/>
      <c r="H942" s="111"/>
      <c r="I942" s="109"/>
      <c r="J942" s="109"/>
      <c r="K942" s="110"/>
      <c r="L942" s="109"/>
      <c r="M942" s="111"/>
      <c r="N942" s="109"/>
      <c r="O942" s="109"/>
      <c r="P942" s="110"/>
      <c r="Q942" s="109"/>
      <c r="R942" s="111"/>
      <c r="S942" s="109"/>
      <c r="T942" s="109"/>
      <c r="U942" s="110"/>
      <c r="V942" s="109"/>
      <c r="W942" s="111"/>
      <c r="X942" s="109"/>
      <c r="Y942" s="109"/>
      <c r="Z942" s="110"/>
      <c r="AA942" s="109"/>
      <c r="AB942" s="111"/>
      <c r="AC942" s="109"/>
      <c r="AD942" s="109"/>
      <c r="AE942" s="110"/>
      <c r="AF942" s="109"/>
      <c r="AG942" s="111"/>
      <c r="AH942" s="109"/>
      <c r="AI942" s="109"/>
      <c r="AJ942" s="110"/>
      <c r="AK942" s="109"/>
      <c r="AL942" s="111"/>
      <c r="AM942" s="109"/>
      <c r="AN942" s="109"/>
      <c r="AO942" s="110"/>
      <c r="AP942" s="109"/>
      <c r="AQ942" s="111"/>
      <c r="AR942" s="109"/>
      <c r="AS942" s="109"/>
      <c r="AT942" s="110"/>
      <c r="AU942" s="109"/>
      <c r="AV942" s="111"/>
      <c r="AW942" s="109"/>
      <c r="AX942" s="109"/>
      <c r="AY942" s="110"/>
      <c r="AZ942" s="109"/>
      <c r="BA942" s="111"/>
      <c r="BB942" s="109"/>
      <c r="BC942" s="109"/>
      <c r="BD942" s="110"/>
      <c r="BE942" s="109"/>
      <c r="BF942" s="111"/>
      <c r="BG942" s="109"/>
      <c r="BH942" s="109"/>
      <c r="BI942" s="110"/>
      <c r="BJ942" s="109"/>
      <c r="BK942" s="111"/>
      <c r="BL942" s="109"/>
      <c r="BM942" s="109"/>
      <c r="BN942" s="110"/>
      <c r="BO942" s="109"/>
      <c r="BP942" s="111"/>
      <c r="BQ942" s="109"/>
      <c r="BR942" s="109"/>
      <c r="BS942" s="110"/>
      <c r="BT942" s="109"/>
      <c r="BU942" s="111"/>
      <c r="BV942" s="109"/>
      <c r="BW942" s="109"/>
      <c r="BX942" s="110"/>
      <c r="BY942" s="109"/>
      <c r="BZ942" s="111"/>
      <c r="CA942" s="109"/>
      <c r="CB942" s="109"/>
      <c r="CC942" s="110"/>
      <c r="CD942" s="109"/>
      <c r="CE942" s="111"/>
      <c r="CF942" s="109"/>
      <c r="CG942" s="109"/>
      <c r="CH942" s="110"/>
      <c r="CI942" s="109"/>
      <c r="CJ942" s="111"/>
      <c r="CK942" s="109"/>
      <c r="CL942" s="109"/>
      <c r="CM942" s="110"/>
      <c r="CN942" s="109"/>
      <c r="CO942" s="111"/>
      <c r="CP942" s="109"/>
      <c r="CQ942" s="109"/>
      <c r="CR942" s="110"/>
      <c r="CS942" s="109"/>
      <c r="CT942" s="111"/>
      <c r="CU942" s="109"/>
      <c r="CV942" s="109"/>
      <c r="CW942" s="110"/>
      <c r="CX942" s="109"/>
      <c r="CY942" s="111"/>
      <c r="CZ942" s="109"/>
      <c r="DA942" s="109"/>
      <c r="DB942" s="110"/>
      <c r="DC942" s="109"/>
      <c r="DD942" s="111"/>
      <c r="DE942" s="109"/>
      <c r="DF942" s="109"/>
      <c r="DG942" s="110"/>
      <c r="DH942" s="109"/>
      <c r="DI942" s="111"/>
      <c r="DJ942" s="109"/>
      <c r="DK942" s="109"/>
      <c r="DL942" s="110"/>
      <c r="DM942" s="109"/>
      <c r="DN942" s="111"/>
      <c r="DO942" s="109"/>
      <c r="DP942" s="109"/>
      <c r="DQ942" s="110"/>
      <c r="DR942" s="109"/>
      <c r="DS942" s="111"/>
      <c r="DT942" s="109"/>
      <c r="DU942" s="109"/>
      <c r="DV942" s="110"/>
      <c r="DW942" s="109"/>
      <c r="DX942" s="111"/>
      <c r="DY942" s="109"/>
      <c r="DZ942" s="109"/>
      <c r="EA942" s="110"/>
      <c r="EB942" s="109"/>
      <c r="EC942" s="111"/>
      <c r="ED942" s="109"/>
      <c r="EE942" s="109"/>
      <c r="EF942" s="110"/>
      <c r="EG942" s="109"/>
      <c r="EH942" s="111"/>
      <c r="EI942" s="109"/>
      <c r="EJ942" s="109"/>
      <c r="EK942" s="110"/>
      <c r="EL942" s="109"/>
      <c r="EM942" s="111"/>
      <c r="EN942" s="109"/>
      <c r="EO942" s="109"/>
      <c r="EP942" s="110"/>
      <c r="EQ942" s="109"/>
      <c r="ER942" s="111"/>
      <c r="ES942" s="109"/>
      <c r="ET942" s="109"/>
      <c r="EU942" s="110"/>
      <c r="EV942" s="109"/>
      <c r="EW942" s="111"/>
      <c r="EX942" s="109"/>
      <c r="EY942" s="109"/>
      <c r="EZ942" s="110"/>
      <c r="FA942" s="109"/>
      <c r="FB942" s="111"/>
      <c r="FC942" s="109"/>
      <c r="FD942" s="109"/>
      <c r="FE942" s="110"/>
      <c r="FF942" s="109"/>
      <c r="FG942" s="111"/>
      <c r="FH942" s="109"/>
      <c r="FI942" s="109"/>
      <c r="FJ942" s="110"/>
      <c r="FK942" s="109"/>
      <c r="FL942" s="111"/>
      <c r="FM942" s="109"/>
      <c r="FN942" s="109"/>
      <c r="FO942" s="110"/>
      <c r="FP942" s="109"/>
      <c r="FQ942" s="111"/>
      <c r="FR942" s="109"/>
      <c r="FS942" s="109"/>
      <c r="FT942" s="110"/>
      <c r="FU942" s="109"/>
      <c r="FV942" s="111"/>
      <c r="FW942" s="109"/>
      <c r="FX942" s="109"/>
      <c r="FY942" s="110"/>
      <c r="FZ942" s="109"/>
      <c r="GA942" s="111"/>
      <c r="GB942" s="109"/>
      <c r="GC942" s="109"/>
      <c r="GD942" s="110"/>
      <c r="GE942" s="109"/>
      <c r="GF942" s="111"/>
      <c r="GG942" s="109"/>
      <c r="GH942" s="109"/>
      <c r="GI942" s="110"/>
      <c r="GJ942" s="109"/>
      <c r="GK942" s="111"/>
      <c r="GL942" s="109"/>
      <c r="GM942" s="109"/>
      <c r="GN942" s="110"/>
      <c r="GO942" s="109"/>
      <c r="GP942" s="111"/>
      <c r="GQ942" s="109"/>
      <c r="GR942" s="109"/>
      <c r="GS942" s="110"/>
      <c r="GT942" s="109"/>
      <c r="GU942" s="111"/>
      <c r="GV942" s="109"/>
      <c r="GW942" s="109"/>
      <c r="GX942" s="110"/>
      <c r="GY942" s="109"/>
      <c r="GZ942" s="111"/>
      <c r="HA942" s="109"/>
      <c r="HB942" s="109"/>
      <c r="HC942" s="110"/>
      <c r="HD942" s="109"/>
      <c r="HE942" s="111"/>
      <c r="HF942" s="109"/>
      <c r="HG942" s="109"/>
      <c r="HH942" s="110"/>
      <c r="HI942" s="109"/>
      <c r="HJ942" s="111"/>
      <c r="HK942" s="109"/>
      <c r="HL942" s="109"/>
      <c r="HM942" s="110"/>
      <c r="HN942" s="109"/>
      <c r="HO942" s="111"/>
      <c r="HP942" s="109"/>
      <c r="HQ942" s="109"/>
      <c r="HR942" s="110"/>
      <c r="HS942" s="109"/>
      <c r="HT942" s="111"/>
      <c r="HU942" s="109"/>
      <c r="HV942" s="109"/>
      <c r="HW942" s="110"/>
      <c r="HX942" s="109"/>
      <c r="HY942" s="111"/>
      <c r="HZ942" s="109"/>
      <c r="IA942" s="109"/>
      <c r="IB942" s="110"/>
      <c r="IC942" s="109"/>
      <c r="ID942" s="111"/>
      <c r="IE942" s="109"/>
      <c r="IF942" s="109"/>
      <c r="IG942" s="110"/>
      <c r="IH942" s="109"/>
      <c r="II942" s="111"/>
      <c r="IJ942" s="109"/>
      <c r="IK942" s="109"/>
      <c r="IL942" s="110"/>
      <c r="IM942" s="109"/>
      <c r="IN942" s="111"/>
      <c r="IO942" s="109"/>
      <c r="IP942" s="109"/>
      <c r="IQ942" s="110"/>
      <c r="IR942" s="109"/>
      <c r="IS942" s="111"/>
      <c r="IT942" s="109"/>
      <c r="IU942" s="109"/>
      <c r="IV942" s="110"/>
    </row>
    <row r="943" spans="1:256" s="123" customFormat="1" ht="14.25">
      <c r="A943" s="134">
        <v>37221</v>
      </c>
      <c r="B943" s="111">
        <v>68.863</v>
      </c>
      <c r="C943" s="111">
        <f t="shared" si="15"/>
        <v>0.06886300000000001</v>
      </c>
      <c r="D943" s="111">
        <v>41.4346</v>
      </c>
      <c r="E943" s="111">
        <v>47.1116</v>
      </c>
      <c r="F943" s="131"/>
      <c r="G943" s="109"/>
      <c r="H943" s="111"/>
      <c r="I943" s="109"/>
      <c r="J943" s="109"/>
      <c r="K943" s="110"/>
      <c r="L943" s="109"/>
      <c r="M943" s="111"/>
      <c r="N943" s="109"/>
      <c r="O943" s="109"/>
      <c r="P943" s="110"/>
      <c r="Q943" s="109"/>
      <c r="R943" s="111"/>
      <c r="S943" s="109"/>
      <c r="T943" s="109"/>
      <c r="U943" s="110"/>
      <c r="V943" s="109"/>
      <c r="W943" s="111"/>
      <c r="X943" s="109"/>
      <c r="Y943" s="109"/>
      <c r="Z943" s="110"/>
      <c r="AA943" s="109"/>
      <c r="AB943" s="111"/>
      <c r="AC943" s="109"/>
      <c r="AD943" s="109"/>
      <c r="AE943" s="110"/>
      <c r="AF943" s="109"/>
      <c r="AG943" s="111"/>
      <c r="AH943" s="109"/>
      <c r="AI943" s="109"/>
      <c r="AJ943" s="110"/>
      <c r="AK943" s="109"/>
      <c r="AL943" s="111"/>
      <c r="AM943" s="109"/>
      <c r="AN943" s="109"/>
      <c r="AO943" s="110"/>
      <c r="AP943" s="109"/>
      <c r="AQ943" s="111"/>
      <c r="AR943" s="109"/>
      <c r="AS943" s="109"/>
      <c r="AT943" s="110"/>
      <c r="AU943" s="109"/>
      <c r="AV943" s="111"/>
      <c r="AW943" s="109"/>
      <c r="AX943" s="109"/>
      <c r="AY943" s="110"/>
      <c r="AZ943" s="109"/>
      <c r="BA943" s="111"/>
      <c r="BB943" s="109"/>
      <c r="BC943" s="109"/>
      <c r="BD943" s="110"/>
      <c r="BE943" s="109"/>
      <c r="BF943" s="111"/>
      <c r="BG943" s="109"/>
      <c r="BH943" s="109"/>
      <c r="BI943" s="110"/>
      <c r="BJ943" s="109"/>
      <c r="BK943" s="111"/>
      <c r="BL943" s="109"/>
      <c r="BM943" s="109"/>
      <c r="BN943" s="110"/>
      <c r="BO943" s="109"/>
      <c r="BP943" s="111"/>
      <c r="BQ943" s="109"/>
      <c r="BR943" s="109"/>
      <c r="BS943" s="110"/>
      <c r="BT943" s="109"/>
      <c r="BU943" s="111"/>
      <c r="BV943" s="109"/>
      <c r="BW943" s="109"/>
      <c r="BX943" s="110"/>
      <c r="BY943" s="109"/>
      <c r="BZ943" s="111"/>
      <c r="CA943" s="109"/>
      <c r="CB943" s="109"/>
      <c r="CC943" s="110"/>
      <c r="CD943" s="109"/>
      <c r="CE943" s="111"/>
      <c r="CF943" s="109"/>
      <c r="CG943" s="109"/>
      <c r="CH943" s="110"/>
      <c r="CI943" s="109"/>
      <c r="CJ943" s="111"/>
      <c r="CK943" s="109"/>
      <c r="CL943" s="109"/>
      <c r="CM943" s="110"/>
      <c r="CN943" s="109"/>
      <c r="CO943" s="111"/>
      <c r="CP943" s="109"/>
      <c r="CQ943" s="109"/>
      <c r="CR943" s="110"/>
      <c r="CS943" s="109"/>
      <c r="CT943" s="111"/>
      <c r="CU943" s="109"/>
      <c r="CV943" s="109"/>
      <c r="CW943" s="110"/>
      <c r="CX943" s="109"/>
      <c r="CY943" s="111"/>
      <c r="CZ943" s="109"/>
      <c r="DA943" s="109"/>
      <c r="DB943" s="110"/>
      <c r="DC943" s="109"/>
      <c r="DD943" s="111"/>
      <c r="DE943" s="109"/>
      <c r="DF943" s="109"/>
      <c r="DG943" s="110"/>
      <c r="DH943" s="109"/>
      <c r="DI943" s="111"/>
      <c r="DJ943" s="109"/>
      <c r="DK943" s="109"/>
      <c r="DL943" s="110"/>
      <c r="DM943" s="109"/>
      <c r="DN943" s="111"/>
      <c r="DO943" s="109"/>
      <c r="DP943" s="109"/>
      <c r="DQ943" s="110"/>
      <c r="DR943" s="109"/>
      <c r="DS943" s="111"/>
      <c r="DT943" s="109"/>
      <c r="DU943" s="109"/>
      <c r="DV943" s="110"/>
      <c r="DW943" s="109"/>
      <c r="DX943" s="111"/>
      <c r="DY943" s="109"/>
      <c r="DZ943" s="109"/>
      <c r="EA943" s="110"/>
      <c r="EB943" s="109"/>
      <c r="EC943" s="111"/>
      <c r="ED943" s="109"/>
      <c r="EE943" s="109"/>
      <c r="EF943" s="110"/>
      <c r="EG943" s="109"/>
      <c r="EH943" s="111"/>
      <c r="EI943" s="109"/>
      <c r="EJ943" s="109"/>
      <c r="EK943" s="110"/>
      <c r="EL943" s="109"/>
      <c r="EM943" s="111"/>
      <c r="EN943" s="109"/>
      <c r="EO943" s="109"/>
      <c r="EP943" s="110"/>
      <c r="EQ943" s="109"/>
      <c r="ER943" s="111"/>
      <c r="ES943" s="109"/>
      <c r="ET943" s="109"/>
      <c r="EU943" s="110"/>
      <c r="EV943" s="109"/>
      <c r="EW943" s="111"/>
      <c r="EX943" s="109"/>
      <c r="EY943" s="109"/>
      <c r="EZ943" s="110"/>
      <c r="FA943" s="109"/>
      <c r="FB943" s="111"/>
      <c r="FC943" s="109"/>
      <c r="FD943" s="109"/>
      <c r="FE943" s="110"/>
      <c r="FF943" s="109"/>
      <c r="FG943" s="111"/>
      <c r="FH943" s="109"/>
      <c r="FI943" s="109"/>
      <c r="FJ943" s="110"/>
      <c r="FK943" s="109"/>
      <c r="FL943" s="111"/>
      <c r="FM943" s="109"/>
      <c r="FN943" s="109"/>
      <c r="FO943" s="110"/>
      <c r="FP943" s="109"/>
      <c r="FQ943" s="111"/>
      <c r="FR943" s="109"/>
      <c r="FS943" s="109"/>
      <c r="FT943" s="110"/>
      <c r="FU943" s="109"/>
      <c r="FV943" s="111"/>
      <c r="FW943" s="109"/>
      <c r="FX943" s="109"/>
      <c r="FY943" s="110"/>
      <c r="FZ943" s="109"/>
      <c r="GA943" s="111"/>
      <c r="GB943" s="109"/>
      <c r="GC943" s="109"/>
      <c r="GD943" s="110"/>
      <c r="GE943" s="109"/>
      <c r="GF943" s="111"/>
      <c r="GG943" s="109"/>
      <c r="GH943" s="109"/>
      <c r="GI943" s="110"/>
      <c r="GJ943" s="109"/>
      <c r="GK943" s="111"/>
      <c r="GL943" s="109"/>
      <c r="GM943" s="109"/>
      <c r="GN943" s="110"/>
      <c r="GO943" s="109"/>
      <c r="GP943" s="111"/>
      <c r="GQ943" s="109"/>
      <c r="GR943" s="109"/>
      <c r="GS943" s="110"/>
      <c r="GT943" s="109"/>
      <c r="GU943" s="111"/>
      <c r="GV943" s="109"/>
      <c r="GW943" s="109"/>
      <c r="GX943" s="110"/>
      <c r="GY943" s="109"/>
      <c r="GZ943" s="111"/>
      <c r="HA943" s="109"/>
      <c r="HB943" s="109"/>
      <c r="HC943" s="110"/>
      <c r="HD943" s="109"/>
      <c r="HE943" s="111"/>
      <c r="HF943" s="109"/>
      <c r="HG943" s="109"/>
      <c r="HH943" s="110"/>
      <c r="HI943" s="109"/>
      <c r="HJ943" s="111"/>
      <c r="HK943" s="109"/>
      <c r="HL943" s="109"/>
      <c r="HM943" s="110"/>
      <c r="HN943" s="109"/>
      <c r="HO943" s="111"/>
      <c r="HP943" s="109"/>
      <c r="HQ943" s="109"/>
      <c r="HR943" s="110"/>
      <c r="HS943" s="109"/>
      <c r="HT943" s="111"/>
      <c r="HU943" s="109"/>
      <c r="HV943" s="109"/>
      <c r="HW943" s="110"/>
      <c r="HX943" s="109"/>
      <c r="HY943" s="111"/>
      <c r="HZ943" s="109"/>
      <c r="IA943" s="109"/>
      <c r="IB943" s="110"/>
      <c r="IC943" s="109"/>
      <c r="ID943" s="111"/>
      <c r="IE943" s="109"/>
      <c r="IF943" s="109"/>
      <c r="IG943" s="110"/>
      <c r="IH943" s="109"/>
      <c r="II943" s="111"/>
      <c r="IJ943" s="109"/>
      <c r="IK943" s="109"/>
      <c r="IL943" s="110"/>
      <c r="IM943" s="109"/>
      <c r="IN943" s="111"/>
      <c r="IO943" s="109"/>
      <c r="IP943" s="109"/>
      <c r="IQ943" s="110"/>
      <c r="IR943" s="109"/>
      <c r="IS943" s="111"/>
      <c r="IT943" s="109"/>
      <c r="IU943" s="109"/>
      <c r="IV943" s="110"/>
    </row>
    <row r="944" spans="1:256" s="123" customFormat="1" ht="14.25">
      <c r="A944" s="134">
        <v>37222</v>
      </c>
      <c r="B944" s="111">
        <v>62.8912</v>
      </c>
      <c r="C944" s="111">
        <f t="shared" si="15"/>
        <v>0.0628912</v>
      </c>
      <c r="D944" s="111">
        <v>37.8213</v>
      </c>
      <c r="E944" s="111">
        <v>42.8911</v>
      </c>
      <c r="F944" s="131"/>
      <c r="G944" s="109"/>
      <c r="H944" s="111"/>
      <c r="I944" s="109"/>
      <c r="J944" s="109"/>
      <c r="K944" s="110"/>
      <c r="L944" s="109"/>
      <c r="M944" s="111"/>
      <c r="N944" s="109"/>
      <c r="O944" s="109"/>
      <c r="P944" s="110"/>
      <c r="Q944" s="109"/>
      <c r="R944" s="111"/>
      <c r="S944" s="109"/>
      <c r="T944" s="109"/>
      <c r="U944" s="110"/>
      <c r="V944" s="109"/>
      <c r="W944" s="111"/>
      <c r="X944" s="109"/>
      <c r="Y944" s="109"/>
      <c r="Z944" s="110"/>
      <c r="AA944" s="109"/>
      <c r="AB944" s="111"/>
      <c r="AC944" s="109"/>
      <c r="AD944" s="109"/>
      <c r="AE944" s="110"/>
      <c r="AF944" s="109"/>
      <c r="AG944" s="111"/>
      <c r="AH944" s="109"/>
      <c r="AI944" s="109"/>
      <c r="AJ944" s="110"/>
      <c r="AK944" s="109"/>
      <c r="AL944" s="111"/>
      <c r="AM944" s="109"/>
      <c r="AN944" s="109"/>
      <c r="AO944" s="110"/>
      <c r="AP944" s="109"/>
      <c r="AQ944" s="111"/>
      <c r="AR944" s="109"/>
      <c r="AS944" s="109"/>
      <c r="AT944" s="110"/>
      <c r="AU944" s="109"/>
      <c r="AV944" s="111"/>
      <c r="AW944" s="109"/>
      <c r="AX944" s="109"/>
      <c r="AY944" s="110"/>
      <c r="AZ944" s="109"/>
      <c r="BA944" s="111"/>
      <c r="BB944" s="109"/>
      <c r="BC944" s="109"/>
      <c r="BD944" s="110"/>
      <c r="BE944" s="109"/>
      <c r="BF944" s="111"/>
      <c r="BG944" s="109"/>
      <c r="BH944" s="109"/>
      <c r="BI944" s="110"/>
      <c r="BJ944" s="109"/>
      <c r="BK944" s="111"/>
      <c r="BL944" s="109"/>
      <c r="BM944" s="109"/>
      <c r="BN944" s="110"/>
      <c r="BO944" s="109"/>
      <c r="BP944" s="111"/>
      <c r="BQ944" s="109"/>
      <c r="BR944" s="109"/>
      <c r="BS944" s="110"/>
      <c r="BT944" s="109"/>
      <c r="BU944" s="111"/>
      <c r="BV944" s="109"/>
      <c r="BW944" s="109"/>
      <c r="BX944" s="110"/>
      <c r="BY944" s="109"/>
      <c r="BZ944" s="111"/>
      <c r="CA944" s="109"/>
      <c r="CB944" s="109"/>
      <c r="CC944" s="110"/>
      <c r="CD944" s="109"/>
      <c r="CE944" s="111"/>
      <c r="CF944" s="109"/>
      <c r="CG944" s="109"/>
      <c r="CH944" s="110"/>
      <c r="CI944" s="109"/>
      <c r="CJ944" s="111"/>
      <c r="CK944" s="109"/>
      <c r="CL944" s="109"/>
      <c r="CM944" s="110"/>
      <c r="CN944" s="109"/>
      <c r="CO944" s="111"/>
      <c r="CP944" s="109"/>
      <c r="CQ944" s="109"/>
      <c r="CR944" s="110"/>
      <c r="CS944" s="109"/>
      <c r="CT944" s="111"/>
      <c r="CU944" s="109"/>
      <c r="CV944" s="109"/>
      <c r="CW944" s="110"/>
      <c r="CX944" s="109"/>
      <c r="CY944" s="111"/>
      <c r="CZ944" s="109"/>
      <c r="DA944" s="109"/>
      <c r="DB944" s="110"/>
      <c r="DC944" s="109"/>
      <c r="DD944" s="111"/>
      <c r="DE944" s="109"/>
      <c r="DF944" s="109"/>
      <c r="DG944" s="110"/>
      <c r="DH944" s="109"/>
      <c r="DI944" s="111"/>
      <c r="DJ944" s="109"/>
      <c r="DK944" s="109"/>
      <c r="DL944" s="110"/>
      <c r="DM944" s="109"/>
      <c r="DN944" s="111"/>
      <c r="DO944" s="109"/>
      <c r="DP944" s="109"/>
      <c r="DQ944" s="110"/>
      <c r="DR944" s="109"/>
      <c r="DS944" s="111"/>
      <c r="DT944" s="109"/>
      <c r="DU944" s="109"/>
      <c r="DV944" s="110"/>
      <c r="DW944" s="109"/>
      <c r="DX944" s="111"/>
      <c r="DY944" s="109"/>
      <c r="DZ944" s="109"/>
      <c r="EA944" s="110"/>
      <c r="EB944" s="109"/>
      <c r="EC944" s="111"/>
      <c r="ED944" s="109"/>
      <c r="EE944" s="109"/>
      <c r="EF944" s="110"/>
      <c r="EG944" s="109"/>
      <c r="EH944" s="111"/>
      <c r="EI944" s="109"/>
      <c r="EJ944" s="109"/>
      <c r="EK944" s="110"/>
      <c r="EL944" s="109"/>
      <c r="EM944" s="111"/>
      <c r="EN944" s="109"/>
      <c r="EO944" s="109"/>
      <c r="EP944" s="110"/>
      <c r="EQ944" s="109"/>
      <c r="ER944" s="111"/>
      <c r="ES944" s="109"/>
      <c r="ET944" s="109"/>
      <c r="EU944" s="110"/>
      <c r="EV944" s="109"/>
      <c r="EW944" s="111"/>
      <c r="EX944" s="109"/>
      <c r="EY944" s="109"/>
      <c r="EZ944" s="110"/>
      <c r="FA944" s="109"/>
      <c r="FB944" s="111"/>
      <c r="FC944" s="109"/>
      <c r="FD944" s="109"/>
      <c r="FE944" s="110"/>
      <c r="FF944" s="109"/>
      <c r="FG944" s="111"/>
      <c r="FH944" s="109"/>
      <c r="FI944" s="109"/>
      <c r="FJ944" s="110"/>
      <c r="FK944" s="109"/>
      <c r="FL944" s="111"/>
      <c r="FM944" s="109"/>
      <c r="FN944" s="109"/>
      <c r="FO944" s="110"/>
      <c r="FP944" s="109"/>
      <c r="FQ944" s="111"/>
      <c r="FR944" s="109"/>
      <c r="FS944" s="109"/>
      <c r="FT944" s="110"/>
      <c r="FU944" s="109"/>
      <c r="FV944" s="111"/>
      <c r="FW944" s="109"/>
      <c r="FX944" s="109"/>
      <c r="FY944" s="110"/>
      <c r="FZ944" s="109"/>
      <c r="GA944" s="111"/>
      <c r="GB944" s="109"/>
      <c r="GC944" s="109"/>
      <c r="GD944" s="110"/>
      <c r="GE944" s="109"/>
      <c r="GF944" s="111"/>
      <c r="GG944" s="109"/>
      <c r="GH944" s="109"/>
      <c r="GI944" s="110"/>
      <c r="GJ944" s="109"/>
      <c r="GK944" s="111"/>
      <c r="GL944" s="109"/>
      <c r="GM944" s="109"/>
      <c r="GN944" s="110"/>
      <c r="GO944" s="109"/>
      <c r="GP944" s="111"/>
      <c r="GQ944" s="109"/>
      <c r="GR944" s="109"/>
      <c r="GS944" s="110"/>
      <c r="GT944" s="109"/>
      <c r="GU944" s="111"/>
      <c r="GV944" s="109"/>
      <c r="GW944" s="109"/>
      <c r="GX944" s="110"/>
      <c r="GY944" s="109"/>
      <c r="GZ944" s="111"/>
      <c r="HA944" s="109"/>
      <c r="HB944" s="109"/>
      <c r="HC944" s="110"/>
      <c r="HD944" s="109"/>
      <c r="HE944" s="111"/>
      <c r="HF944" s="109"/>
      <c r="HG944" s="109"/>
      <c r="HH944" s="110"/>
      <c r="HI944" s="109"/>
      <c r="HJ944" s="111"/>
      <c r="HK944" s="109"/>
      <c r="HL944" s="109"/>
      <c r="HM944" s="110"/>
      <c r="HN944" s="109"/>
      <c r="HO944" s="111"/>
      <c r="HP944" s="109"/>
      <c r="HQ944" s="109"/>
      <c r="HR944" s="110"/>
      <c r="HS944" s="109"/>
      <c r="HT944" s="111"/>
      <c r="HU944" s="109"/>
      <c r="HV944" s="109"/>
      <c r="HW944" s="110"/>
      <c r="HX944" s="109"/>
      <c r="HY944" s="111"/>
      <c r="HZ944" s="109"/>
      <c r="IA944" s="109"/>
      <c r="IB944" s="110"/>
      <c r="IC944" s="109"/>
      <c r="ID944" s="111"/>
      <c r="IE944" s="109"/>
      <c r="IF944" s="109"/>
      <c r="IG944" s="110"/>
      <c r="IH944" s="109"/>
      <c r="II944" s="111"/>
      <c r="IJ944" s="109"/>
      <c r="IK944" s="109"/>
      <c r="IL944" s="110"/>
      <c r="IM944" s="109"/>
      <c r="IN944" s="111"/>
      <c r="IO944" s="109"/>
      <c r="IP944" s="109"/>
      <c r="IQ944" s="110"/>
      <c r="IR944" s="109"/>
      <c r="IS944" s="111"/>
      <c r="IT944" s="109"/>
      <c r="IU944" s="109"/>
      <c r="IV944" s="110"/>
    </row>
    <row r="945" spans="1:256" s="123" customFormat="1" ht="14.25">
      <c r="A945" s="134">
        <v>37223</v>
      </c>
      <c r="B945" s="111">
        <v>53.6967</v>
      </c>
      <c r="C945" s="111">
        <f t="shared" si="15"/>
        <v>0.0536967</v>
      </c>
      <c r="D945" s="111">
        <v>32.2305</v>
      </c>
      <c r="E945" s="111">
        <v>36.6756</v>
      </c>
      <c r="F945" s="131"/>
      <c r="G945" s="109"/>
      <c r="H945" s="111"/>
      <c r="I945" s="109"/>
      <c r="J945" s="109"/>
      <c r="K945" s="110"/>
      <c r="L945" s="109"/>
      <c r="M945" s="111"/>
      <c r="N945" s="109"/>
      <c r="O945" s="109"/>
      <c r="P945" s="110"/>
      <c r="Q945" s="109"/>
      <c r="R945" s="111"/>
      <c r="S945" s="109"/>
      <c r="T945" s="109"/>
      <c r="U945" s="110"/>
      <c r="V945" s="109"/>
      <c r="W945" s="111"/>
      <c r="X945" s="109"/>
      <c r="Y945" s="109"/>
      <c r="Z945" s="110"/>
      <c r="AA945" s="109"/>
      <c r="AB945" s="111"/>
      <c r="AC945" s="109"/>
      <c r="AD945" s="109"/>
      <c r="AE945" s="110"/>
      <c r="AF945" s="109"/>
      <c r="AG945" s="111"/>
      <c r="AH945" s="109"/>
      <c r="AI945" s="109"/>
      <c r="AJ945" s="110"/>
      <c r="AK945" s="109"/>
      <c r="AL945" s="111"/>
      <c r="AM945" s="109"/>
      <c r="AN945" s="109"/>
      <c r="AO945" s="110"/>
      <c r="AP945" s="109"/>
      <c r="AQ945" s="111"/>
      <c r="AR945" s="109"/>
      <c r="AS945" s="109"/>
      <c r="AT945" s="110"/>
      <c r="AU945" s="109"/>
      <c r="AV945" s="111"/>
      <c r="AW945" s="109"/>
      <c r="AX945" s="109"/>
      <c r="AY945" s="110"/>
      <c r="AZ945" s="109"/>
      <c r="BA945" s="111"/>
      <c r="BB945" s="109"/>
      <c r="BC945" s="109"/>
      <c r="BD945" s="110"/>
      <c r="BE945" s="109"/>
      <c r="BF945" s="111"/>
      <c r="BG945" s="109"/>
      <c r="BH945" s="109"/>
      <c r="BI945" s="110"/>
      <c r="BJ945" s="109"/>
      <c r="BK945" s="111"/>
      <c r="BL945" s="109"/>
      <c r="BM945" s="109"/>
      <c r="BN945" s="110"/>
      <c r="BO945" s="109"/>
      <c r="BP945" s="111"/>
      <c r="BQ945" s="109"/>
      <c r="BR945" s="109"/>
      <c r="BS945" s="110"/>
      <c r="BT945" s="109"/>
      <c r="BU945" s="111"/>
      <c r="BV945" s="109"/>
      <c r="BW945" s="109"/>
      <c r="BX945" s="110"/>
      <c r="BY945" s="109"/>
      <c r="BZ945" s="111"/>
      <c r="CA945" s="109"/>
      <c r="CB945" s="109"/>
      <c r="CC945" s="110"/>
      <c r="CD945" s="109"/>
      <c r="CE945" s="111"/>
      <c r="CF945" s="109"/>
      <c r="CG945" s="109"/>
      <c r="CH945" s="110"/>
      <c r="CI945" s="109"/>
      <c r="CJ945" s="111"/>
      <c r="CK945" s="109"/>
      <c r="CL945" s="109"/>
      <c r="CM945" s="110"/>
      <c r="CN945" s="109"/>
      <c r="CO945" s="111"/>
      <c r="CP945" s="109"/>
      <c r="CQ945" s="109"/>
      <c r="CR945" s="110"/>
      <c r="CS945" s="109"/>
      <c r="CT945" s="111"/>
      <c r="CU945" s="109"/>
      <c r="CV945" s="109"/>
      <c r="CW945" s="110"/>
      <c r="CX945" s="109"/>
      <c r="CY945" s="111"/>
      <c r="CZ945" s="109"/>
      <c r="DA945" s="109"/>
      <c r="DB945" s="110"/>
      <c r="DC945" s="109"/>
      <c r="DD945" s="111"/>
      <c r="DE945" s="109"/>
      <c r="DF945" s="109"/>
      <c r="DG945" s="110"/>
      <c r="DH945" s="109"/>
      <c r="DI945" s="111"/>
      <c r="DJ945" s="109"/>
      <c r="DK945" s="109"/>
      <c r="DL945" s="110"/>
      <c r="DM945" s="109"/>
      <c r="DN945" s="111"/>
      <c r="DO945" s="109"/>
      <c r="DP945" s="109"/>
      <c r="DQ945" s="110"/>
      <c r="DR945" s="109"/>
      <c r="DS945" s="111"/>
      <c r="DT945" s="109"/>
      <c r="DU945" s="109"/>
      <c r="DV945" s="110"/>
      <c r="DW945" s="109"/>
      <c r="DX945" s="111"/>
      <c r="DY945" s="109"/>
      <c r="DZ945" s="109"/>
      <c r="EA945" s="110"/>
      <c r="EB945" s="109"/>
      <c r="EC945" s="111"/>
      <c r="ED945" s="109"/>
      <c r="EE945" s="109"/>
      <c r="EF945" s="110"/>
      <c r="EG945" s="109"/>
      <c r="EH945" s="111"/>
      <c r="EI945" s="109"/>
      <c r="EJ945" s="109"/>
      <c r="EK945" s="110"/>
      <c r="EL945" s="109"/>
      <c r="EM945" s="111"/>
      <c r="EN945" s="109"/>
      <c r="EO945" s="109"/>
      <c r="EP945" s="110"/>
      <c r="EQ945" s="109"/>
      <c r="ER945" s="111"/>
      <c r="ES945" s="109"/>
      <c r="ET945" s="109"/>
      <c r="EU945" s="110"/>
      <c r="EV945" s="109"/>
      <c r="EW945" s="111"/>
      <c r="EX945" s="109"/>
      <c r="EY945" s="109"/>
      <c r="EZ945" s="110"/>
      <c r="FA945" s="109"/>
      <c r="FB945" s="111"/>
      <c r="FC945" s="109"/>
      <c r="FD945" s="109"/>
      <c r="FE945" s="110"/>
      <c r="FF945" s="109"/>
      <c r="FG945" s="111"/>
      <c r="FH945" s="109"/>
      <c r="FI945" s="109"/>
      <c r="FJ945" s="110"/>
      <c r="FK945" s="109"/>
      <c r="FL945" s="111"/>
      <c r="FM945" s="109"/>
      <c r="FN945" s="109"/>
      <c r="FO945" s="110"/>
      <c r="FP945" s="109"/>
      <c r="FQ945" s="111"/>
      <c r="FR945" s="109"/>
      <c r="FS945" s="109"/>
      <c r="FT945" s="110"/>
      <c r="FU945" s="109"/>
      <c r="FV945" s="111"/>
      <c r="FW945" s="109"/>
      <c r="FX945" s="109"/>
      <c r="FY945" s="110"/>
      <c r="FZ945" s="109"/>
      <c r="GA945" s="111"/>
      <c r="GB945" s="109"/>
      <c r="GC945" s="109"/>
      <c r="GD945" s="110"/>
      <c r="GE945" s="109"/>
      <c r="GF945" s="111"/>
      <c r="GG945" s="109"/>
      <c r="GH945" s="109"/>
      <c r="GI945" s="110"/>
      <c r="GJ945" s="109"/>
      <c r="GK945" s="111"/>
      <c r="GL945" s="109"/>
      <c r="GM945" s="109"/>
      <c r="GN945" s="110"/>
      <c r="GO945" s="109"/>
      <c r="GP945" s="111"/>
      <c r="GQ945" s="109"/>
      <c r="GR945" s="109"/>
      <c r="GS945" s="110"/>
      <c r="GT945" s="109"/>
      <c r="GU945" s="111"/>
      <c r="GV945" s="109"/>
      <c r="GW945" s="109"/>
      <c r="GX945" s="110"/>
      <c r="GY945" s="109"/>
      <c r="GZ945" s="111"/>
      <c r="HA945" s="109"/>
      <c r="HB945" s="109"/>
      <c r="HC945" s="110"/>
      <c r="HD945" s="109"/>
      <c r="HE945" s="111"/>
      <c r="HF945" s="109"/>
      <c r="HG945" s="109"/>
      <c r="HH945" s="110"/>
      <c r="HI945" s="109"/>
      <c r="HJ945" s="111"/>
      <c r="HK945" s="109"/>
      <c r="HL945" s="109"/>
      <c r="HM945" s="110"/>
      <c r="HN945" s="109"/>
      <c r="HO945" s="111"/>
      <c r="HP945" s="109"/>
      <c r="HQ945" s="109"/>
      <c r="HR945" s="110"/>
      <c r="HS945" s="109"/>
      <c r="HT945" s="111"/>
      <c r="HU945" s="109"/>
      <c r="HV945" s="109"/>
      <c r="HW945" s="110"/>
      <c r="HX945" s="109"/>
      <c r="HY945" s="111"/>
      <c r="HZ945" s="109"/>
      <c r="IA945" s="109"/>
      <c r="IB945" s="110"/>
      <c r="IC945" s="109"/>
      <c r="ID945" s="111"/>
      <c r="IE945" s="109"/>
      <c r="IF945" s="109"/>
      <c r="IG945" s="110"/>
      <c r="IH945" s="109"/>
      <c r="II945" s="111"/>
      <c r="IJ945" s="109"/>
      <c r="IK945" s="109"/>
      <c r="IL945" s="110"/>
      <c r="IM945" s="109"/>
      <c r="IN945" s="111"/>
      <c r="IO945" s="109"/>
      <c r="IP945" s="109"/>
      <c r="IQ945" s="110"/>
      <c r="IR945" s="109"/>
      <c r="IS945" s="111"/>
      <c r="IT945" s="109"/>
      <c r="IU945" s="109"/>
      <c r="IV945" s="110"/>
    </row>
    <row r="946" spans="1:256" s="123" customFormat="1" ht="14.25">
      <c r="A946" s="134">
        <v>37224</v>
      </c>
      <c r="B946" s="111">
        <v>51.6651</v>
      </c>
      <c r="C946" s="111">
        <f t="shared" si="15"/>
        <v>0.051665100000000005</v>
      </c>
      <c r="D946" s="111">
        <v>31.2803</v>
      </c>
      <c r="E946" s="111">
        <v>35.4211</v>
      </c>
      <c r="F946" s="131"/>
      <c r="G946" s="109"/>
      <c r="H946" s="111"/>
      <c r="I946" s="109"/>
      <c r="J946" s="109"/>
      <c r="K946" s="110"/>
      <c r="L946" s="109"/>
      <c r="M946" s="111"/>
      <c r="N946" s="109"/>
      <c r="O946" s="109"/>
      <c r="P946" s="110"/>
      <c r="Q946" s="109"/>
      <c r="R946" s="111"/>
      <c r="S946" s="109"/>
      <c r="T946" s="109"/>
      <c r="U946" s="110"/>
      <c r="V946" s="109"/>
      <c r="W946" s="111"/>
      <c r="X946" s="109"/>
      <c r="Y946" s="109"/>
      <c r="Z946" s="110"/>
      <c r="AA946" s="109"/>
      <c r="AB946" s="111"/>
      <c r="AC946" s="109"/>
      <c r="AD946" s="109"/>
      <c r="AE946" s="110"/>
      <c r="AF946" s="109"/>
      <c r="AG946" s="111"/>
      <c r="AH946" s="109"/>
      <c r="AI946" s="109"/>
      <c r="AJ946" s="110"/>
      <c r="AK946" s="109"/>
      <c r="AL946" s="111"/>
      <c r="AM946" s="109"/>
      <c r="AN946" s="109"/>
      <c r="AO946" s="110"/>
      <c r="AP946" s="109"/>
      <c r="AQ946" s="111"/>
      <c r="AR946" s="109"/>
      <c r="AS946" s="109"/>
      <c r="AT946" s="110"/>
      <c r="AU946" s="109"/>
      <c r="AV946" s="111"/>
      <c r="AW946" s="109"/>
      <c r="AX946" s="109"/>
      <c r="AY946" s="110"/>
      <c r="AZ946" s="109"/>
      <c r="BA946" s="111"/>
      <c r="BB946" s="109"/>
      <c r="BC946" s="109"/>
      <c r="BD946" s="110"/>
      <c r="BE946" s="109"/>
      <c r="BF946" s="111"/>
      <c r="BG946" s="109"/>
      <c r="BH946" s="109"/>
      <c r="BI946" s="110"/>
      <c r="BJ946" s="109"/>
      <c r="BK946" s="111"/>
      <c r="BL946" s="109"/>
      <c r="BM946" s="109"/>
      <c r="BN946" s="110"/>
      <c r="BO946" s="109"/>
      <c r="BP946" s="111"/>
      <c r="BQ946" s="109"/>
      <c r="BR946" s="109"/>
      <c r="BS946" s="110"/>
      <c r="BT946" s="109"/>
      <c r="BU946" s="111"/>
      <c r="BV946" s="109"/>
      <c r="BW946" s="109"/>
      <c r="BX946" s="110"/>
      <c r="BY946" s="109"/>
      <c r="BZ946" s="111"/>
      <c r="CA946" s="109"/>
      <c r="CB946" s="109"/>
      <c r="CC946" s="110"/>
      <c r="CD946" s="109"/>
      <c r="CE946" s="111"/>
      <c r="CF946" s="109"/>
      <c r="CG946" s="109"/>
      <c r="CH946" s="110"/>
      <c r="CI946" s="109"/>
      <c r="CJ946" s="111"/>
      <c r="CK946" s="109"/>
      <c r="CL946" s="109"/>
      <c r="CM946" s="110"/>
      <c r="CN946" s="109"/>
      <c r="CO946" s="111"/>
      <c r="CP946" s="109"/>
      <c r="CQ946" s="109"/>
      <c r="CR946" s="110"/>
      <c r="CS946" s="109"/>
      <c r="CT946" s="111"/>
      <c r="CU946" s="109"/>
      <c r="CV946" s="109"/>
      <c r="CW946" s="110"/>
      <c r="CX946" s="109"/>
      <c r="CY946" s="111"/>
      <c r="CZ946" s="109"/>
      <c r="DA946" s="109"/>
      <c r="DB946" s="110"/>
      <c r="DC946" s="109"/>
      <c r="DD946" s="111"/>
      <c r="DE946" s="109"/>
      <c r="DF946" s="109"/>
      <c r="DG946" s="110"/>
      <c r="DH946" s="109"/>
      <c r="DI946" s="111"/>
      <c r="DJ946" s="109"/>
      <c r="DK946" s="109"/>
      <c r="DL946" s="110"/>
      <c r="DM946" s="109"/>
      <c r="DN946" s="111"/>
      <c r="DO946" s="109"/>
      <c r="DP946" s="109"/>
      <c r="DQ946" s="110"/>
      <c r="DR946" s="109"/>
      <c r="DS946" s="111"/>
      <c r="DT946" s="109"/>
      <c r="DU946" s="109"/>
      <c r="DV946" s="110"/>
      <c r="DW946" s="109"/>
      <c r="DX946" s="111"/>
      <c r="DY946" s="109"/>
      <c r="DZ946" s="109"/>
      <c r="EA946" s="110"/>
      <c r="EB946" s="109"/>
      <c r="EC946" s="111"/>
      <c r="ED946" s="109"/>
      <c r="EE946" s="109"/>
      <c r="EF946" s="110"/>
      <c r="EG946" s="109"/>
      <c r="EH946" s="111"/>
      <c r="EI946" s="109"/>
      <c r="EJ946" s="109"/>
      <c r="EK946" s="110"/>
      <c r="EL946" s="109"/>
      <c r="EM946" s="111"/>
      <c r="EN946" s="109"/>
      <c r="EO946" s="109"/>
      <c r="EP946" s="110"/>
      <c r="EQ946" s="109"/>
      <c r="ER946" s="111"/>
      <c r="ES946" s="109"/>
      <c r="ET946" s="109"/>
      <c r="EU946" s="110"/>
      <c r="EV946" s="109"/>
      <c r="EW946" s="111"/>
      <c r="EX946" s="109"/>
      <c r="EY946" s="109"/>
      <c r="EZ946" s="110"/>
      <c r="FA946" s="109"/>
      <c r="FB946" s="111"/>
      <c r="FC946" s="109"/>
      <c r="FD946" s="109"/>
      <c r="FE946" s="110"/>
      <c r="FF946" s="109"/>
      <c r="FG946" s="111"/>
      <c r="FH946" s="109"/>
      <c r="FI946" s="109"/>
      <c r="FJ946" s="110"/>
      <c r="FK946" s="109"/>
      <c r="FL946" s="111"/>
      <c r="FM946" s="109"/>
      <c r="FN946" s="109"/>
      <c r="FO946" s="110"/>
      <c r="FP946" s="109"/>
      <c r="FQ946" s="111"/>
      <c r="FR946" s="109"/>
      <c r="FS946" s="109"/>
      <c r="FT946" s="110"/>
      <c r="FU946" s="109"/>
      <c r="FV946" s="111"/>
      <c r="FW946" s="109"/>
      <c r="FX946" s="109"/>
      <c r="FY946" s="110"/>
      <c r="FZ946" s="109"/>
      <c r="GA946" s="111"/>
      <c r="GB946" s="109"/>
      <c r="GC946" s="109"/>
      <c r="GD946" s="110"/>
      <c r="GE946" s="109"/>
      <c r="GF946" s="111"/>
      <c r="GG946" s="109"/>
      <c r="GH946" s="109"/>
      <c r="GI946" s="110"/>
      <c r="GJ946" s="109"/>
      <c r="GK946" s="111"/>
      <c r="GL946" s="109"/>
      <c r="GM946" s="109"/>
      <c r="GN946" s="110"/>
      <c r="GO946" s="109"/>
      <c r="GP946" s="111"/>
      <c r="GQ946" s="109"/>
      <c r="GR946" s="109"/>
      <c r="GS946" s="110"/>
      <c r="GT946" s="109"/>
      <c r="GU946" s="111"/>
      <c r="GV946" s="109"/>
      <c r="GW946" s="109"/>
      <c r="GX946" s="110"/>
      <c r="GY946" s="109"/>
      <c r="GZ946" s="111"/>
      <c r="HA946" s="109"/>
      <c r="HB946" s="109"/>
      <c r="HC946" s="110"/>
      <c r="HD946" s="109"/>
      <c r="HE946" s="111"/>
      <c r="HF946" s="109"/>
      <c r="HG946" s="109"/>
      <c r="HH946" s="110"/>
      <c r="HI946" s="109"/>
      <c r="HJ946" s="111"/>
      <c r="HK946" s="109"/>
      <c r="HL946" s="109"/>
      <c r="HM946" s="110"/>
      <c r="HN946" s="109"/>
      <c r="HO946" s="111"/>
      <c r="HP946" s="109"/>
      <c r="HQ946" s="109"/>
      <c r="HR946" s="110"/>
      <c r="HS946" s="109"/>
      <c r="HT946" s="111"/>
      <c r="HU946" s="109"/>
      <c r="HV946" s="109"/>
      <c r="HW946" s="110"/>
      <c r="HX946" s="109"/>
      <c r="HY946" s="111"/>
      <c r="HZ946" s="109"/>
      <c r="IA946" s="109"/>
      <c r="IB946" s="110"/>
      <c r="IC946" s="109"/>
      <c r="ID946" s="111"/>
      <c r="IE946" s="109"/>
      <c r="IF946" s="109"/>
      <c r="IG946" s="110"/>
      <c r="IH946" s="109"/>
      <c r="II946" s="111"/>
      <c r="IJ946" s="109"/>
      <c r="IK946" s="109"/>
      <c r="IL946" s="110"/>
      <c r="IM946" s="109"/>
      <c r="IN946" s="111"/>
      <c r="IO946" s="109"/>
      <c r="IP946" s="109"/>
      <c r="IQ946" s="110"/>
      <c r="IR946" s="109"/>
      <c r="IS946" s="111"/>
      <c r="IT946" s="109"/>
      <c r="IU946" s="109"/>
      <c r="IV946" s="110"/>
    </row>
    <row r="947" spans="1:256" s="123" customFormat="1" ht="14.25">
      <c r="A947" s="134">
        <v>37225</v>
      </c>
      <c r="B947" s="111">
        <v>55.5923</v>
      </c>
      <c r="C947" s="111">
        <f t="shared" si="15"/>
        <v>0.055592300000000004</v>
      </c>
      <c r="D947" s="111">
        <v>33.758</v>
      </c>
      <c r="E947" s="111">
        <v>37.9859</v>
      </c>
      <c r="F947" s="131"/>
      <c r="G947" s="109"/>
      <c r="H947" s="111"/>
      <c r="I947" s="109"/>
      <c r="J947" s="109"/>
      <c r="K947" s="110"/>
      <c r="L947" s="109"/>
      <c r="M947" s="111"/>
      <c r="N947" s="109"/>
      <c r="O947" s="109"/>
      <c r="P947" s="110"/>
      <c r="Q947" s="109"/>
      <c r="R947" s="111"/>
      <c r="S947" s="109"/>
      <c r="T947" s="109"/>
      <c r="U947" s="110"/>
      <c r="V947" s="109"/>
      <c r="W947" s="111"/>
      <c r="X947" s="109"/>
      <c r="Y947" s="109"/>
      <c r="Z947" s="110"/>
      <c r="AA947" s="109"/>
      <c r="AB947" s="111"/>
      <c r="AC947" s="109"/>
      <c r="AD947" s="109"/>
      <c r="AE947" s="110"/>
      <c r="AF947" s="109"/>
      <c r="AG947" s="111"/>
      <c r="AH947" s="109"/>
      <c r="AI947" s="109"/>
      <c r="AJ947" s="110"/>
      <c r="AK947" s="109"/>
      <c r="AL947" s="111"/>
      <c r="AM947" s="109"/>
      <c r="AN947" s="109"/>
      <c r="AO947" s="110"/>
      <c r="AP947" s="109"/>
      <c r="AQ947" s="111"/>
      <c r="AR947" s="109"/>
      <c r="AS947" s="109"/>
      <c r="AT947" s="110"/>
      <c r="AU947" s="109"/>
      <c r="AV947" s="111"/>
      <c r="AW947" s="109"/>
      <c r="AX947" s="109"/>
      <c r="AY947" s="110"/>
      <c r="AZ947" s="109"/>
      <c r="BA947" s="111"/>
      <c r="BB947" s="109"/>
      <c r="BC947" s="109"/>
      <c r="BD947" s="110"/>
      <c r="BE947" s="109"/>
      <c r="BF947" s="111"/>
      <c r="BG947" s="109"/>
      <c r="BH947" s="109"/>
      <c r="BI947" s="110"/>
      <c r="BJ947" s="109"/>
      <c r="BK947" s="111"/>
      <c r="BL947" s="109"/>
      <c r="BM947" s="109"/>
      <c r="BN947" s="110"/>
      <c r="BO947" s="109"/>
      <c r="BP947" s="111"/>
      <c r="BQ947" s="109"/>
      <c r="BR947" s="109"/>
      <c r="BS947" s="110"/>
      <c r="BT947" s="109"/>
      <c r="BU947" s="111"/>
      <c r="BV947" s="109"/>
      <c r="BW947" s="109"/>
      <c r="BX947" s="110"/>
      <c r="BY947" s="109"/>
      <c r="BZ947" s="111"/>
      <c r="CA947" s="109"/>
      <c r="CB947" s="109"/>
      <c r="CC947" s="110"/>
      <c r="CD947" s="109"/>
      <c r="CE947" s="111"/>
      <c r="CF947" s="109"/>
      <c r="CG947" s="109"/>
      <c r="CH947" s="110"/>
      <c r="CI947" s="109"/>
      <c r="CJ947" s="111"/>
      <c r="CK947" s="109"/>
      <c r="CL947" s="109"/>
      <c r="CM947" s="110"/>
      <c r="CN947" s="109"/>
      <c r="CO947" s="111"/>
      <c r="CP947" s="109"/>
      <c r="CQ947" s="109"/>
      <c r="CR947" s="110"/>
      <c r="CS947" s="109"/>
      <c r="CT947" s="111"/>
      <c r="CU947" s="109"/>
      <c r="CV947" s="109"/>
      <c r="CW947" s="110"/>
      <c r="CX947" s="109"/>
      <c r="CY947" s="111"/>
      <c r="CZ947" s="109"/>
      <c r="DA947" s="109"/>
      <c r="DB947" s="110"/>
      <c r="DC947" s="109"/>
      <c r="DD947" s="111"/>
      <c r="DE947" s="109"/>
      <c r="DF947" s="109"/>
      <c r="DG947" s="110"/>
      <c r="DH947" s="109"/>
      <c r="DI947" s="111"/>
      <c r="DJ947" s="109"/>
      <c r="DK947" s="109"/>
      <c r="DL947" s="110"/>
      <c r="DM947" s="109"/>
      <c r="DN947" s="111"/>
      <c r="DO947" s="109"/>
      <c r="DP947" s="109"/>
      <c r="DQ947" s="110"/>
      <c r="DR947" s="109"/>
      <c r="DS947" s="111"/>
      <c r="DT947" s="109"/>
      <c r="DU947" s="109"/>
      <c r="DV947" s="110"/>
      <c r="DW947" s="109"/>
      <c r="DX947" s="111"/>
      <c r="DY947" s="109"/>
      <c r="DZ947" s="109"/>
      <c r="EA947" s="110"/>
      <c r="EB947" s="109"/>
      <c r="EC947" s="111"/>
      <c r="ED947" s="109"/>
      <c r="EE947" s="109"/>
      <c r="EF947" s="110"/>
      <c r="EG947" s="109"/>
      <c r="EH947" s="111"/>
      <c r="EI947" s="109"/>
      <c r="EJ947" s="109"/>
      <c r="EK947" s="110"/>
      <c r="EL947" s="109"/>
      <c r="EM947" s="111"/>
      <c r="EN947" s="109"/>
      <c r="EO947" s="109"/>
      <c r="EP947" s="110"/>
      <c r="EQ947" s="109"/>
      <c r="ER947" s="111"/>
      <c r="ES947" s="109"/>
      <c r="ET947" s="109"/>
      <c r="EU947" s="110"/>
      <c r="EV947" s="109"/>
      <c r="EW947" s="111"/>
      <c r="EX947" s="109"/>
      <c r="EY947" s="109"/>
      <c r="EZ947" s="110"/>
      <c r="FA947" s="109"/>
      <c r="FB947" s="111"/>
      <c r="FC947" s="109"/>
      <c r="FD947" s="109"/>
      <c r="FE947" s="110"/>
      <c r="FF947" s="109"/>
      <c r="FG947" s="111"/>
      <c r="FH947" s="109"/>
      <c r="FI947" s="109"/>
      <c r="FJ947" s="110"/>
      <c r="FK947" s="109"/>
      <c r="FL947" s="111"/>
      <c r="FM947" s="109"/>
      <c r="FN947" s="109"/>
      <c r="FO947" s="110"/>
      <c r="FP947" s="109"/>
      <c r="FQ947" s="111"/>
      <c r="FR947" s="109"/>
      <c r="FS947" s="109"/>
      <c r="FT947" s="110"/>
      <c r="FU947" s="109"/>
      <c r="FV947" s="111"/>
      <c r="FW947" s="109"/>
      <c r="FX947" s="109"/>
      <c r="FY947" s="110"/>
      <c r="FZ947" s="109"/>
      <c r="GA947" s="111"/>
      <c r="GB947" s="109"/>
      <c r="GC947" s="109"/>
      <c r="GD947" s="110"/>
      <c r="GE947" s="109"/>
      <c r="GF947" s="111"/>
      <c r="GG947" s="109"/>
      <c r="GH947" s="109"/>
      <c r="GI947" s="110"/>
      <c r="GJ947" s="109"/>
      <c r="GK947" s="111"/>
      <c r="GL947" s="109"/>
      <c r="GM947" s="109"/>
      <c r="GN947" s="110"/>
      <c r="GO947" s="109"/>
      <c r="GP947" s="111"/>
      <c r="GQ947" s="109"/>
      <c r="GR947" s="109"/>
      <c r="GS947" s="110"/>
      <c r="GT947" s="109"/>
      <c r="GU947" s="111"/>
      <c r="GV947" s="109"/>
      <c r="GW947" s="109"/>
      <c r="GX947" s="110"/>
      <c r="GY947" s="109"/>
      <c r="GZ947" s="111"/>
      <c r="HA947" s="109"/>
      <c r="HB947" s="109"/>
      <c r="HC947" s="110"/>
      <c r="HD947" s="109"/>
      <c r="HE947" s="111"/>
      <c r="HF947" s="109"/>
      <c r="HG947" s="109"/>
      <c r="HH947" s="110"/>
      <c r="HI947" s="109"/>
      <c r="HJ947" s="111"/>
      <c r="HK947" s="109"/>
      <c r="HL947" s="109"/>
      <c r="HM947" s="110"/>
      <c r="HN947" s="109"/>
      <c r="HO947" s="111"/>
      <c r="HP947" s="109"/>
      <c r="HQ947" s="109"/>
      <c r="HR947" s="110"/>
      <c r="HS947" s="109"/>
      <c r="HT947" s="111"/>
      <c r="HU947" s="109"/>
      <c r="HV947" s="109"/>
      <c r="HW947" s="110"/>
      <c r="HX947" s="109"/>
      <c r="HY947" s="111"/>
      <c r="HZ947" s="109"/>
      <c r="IA947" s="109"/>
      <c r="IB947" s="110"/>
      <c r="IC947" s="109"/>
      <c r="ID947" s="111"/>
      <c r="IE947" s="109"/>
      <c r="IF947" s="109"/>
      <c r="IG947" s="110"/>
      <c r="IH947" s="109"/>
      <c r="II947" s="111"/>
      <c r="IJ947" s="109"/>
      <c r="IK947" s="109"/>
      <c r="IL947" s="110"/>
      <c r="IM947" s="109"/>
      <c r="IN947" s="111"/>
      <c r="IO947" s="109"/>
      <c r="IP947" s="109"/>
      <c r="IQ947" s="110"/>
      <c r="IR947" s="109"/>
      <c r="IS947" s="111"/>
      <c r="IT947" s="109"/>
      <c r="IU947" s="109"/>
      <c r="IV947" s="110"/>
    </row>
    <row r="948" spans="1:256" s="123" customFormat="1" ht="14.25">
      <c r="A948" s="134">
        <v>37228</v>
      </c>
      <c r="B948" s="111">
        <v>61.1412</v>
      </c>
      <c r="C948" s="111">
        <f t="shared" si="15"/>
        <v>0.0611412</v>
      </c>
      <c r="D948" s="111">
        <v>36.9488</v>
      </c>
      <c r="E948" s="111">
        <v>41.5248</v>
      </c>
      <c r="F948" s="131"/>
      <c r="G948" s="109"/>
      <c r="H948" s="111"/>
      <c r="I948" s="109"/>
      <c r="J948" s="109"/>
      <c r="K948" s="110"/>
      <c r="L948" s="109"/>
      <c r="M948" s="111"/>
      <c r="N948" s="109"/>
      <c r="O948" s="109"/>
      <c r="P948" s="110"/>
      <c r="Q948" s="109"/>
      <c r="R948" s="111"/>
      <c r="S948" s="109"/>
      <c r="T948" s="109"/>
      <c r="U948" s="110"/>
      <c r="V948" s="109"/>
      <c r="W948" s="111"/>
      <c r="X948" s="109"/>
      <c r="Y948" s="109"/>
      <c r="Z948" s="110"/>
      <c r="AA948" s="109"/>
      <c r="AB948" s="111"/>
      <c r="AC948" s="109"/>
      <c r="AD948" s="109"/>
      <c r="AE948" s="110"/>
      <c r="AF948" s="109"/>
      <c r="AG948" s="111"/>
      <c r="AH948" s="109"/>
      <c r="AI948" s="109"/>
      <c r="AJ948" s="110"/>
      <c r="AK948" s="109"/>
      <c r="AL948" s="111"/>
      <c r="AM948" s="109"/>
      <c r="AN948" s="109"/>
      <c r="AO948" s="110"/>
      <c r="AP948" s="109"/>
      <c r="AQ948" s="111"/>
      <c r="AR948" s="109"/>
      <c r="AS948" s="109"/>
      <c r="AT948" s="110"/>
      <c r="AU948" s="109"/>
      <c r="AV948" s="111"/>
      <c r="AW948" s="109"/>
      <c r="AX948" s="109"/>
      <c r="AY948" s="110"/>
      <c r="AZ948" s="109"/>
      <c r="BA948" s="111"/>
      <c r="BB948" s="109"/>
      <c r="BC948" s="109"/>
      <c r="BD948" s="110"/>
      <c r="BE948" s="109"/>
      <c r="BF948" s="111"/>
      <c r="BG948" s="109"/>
      <c r="BH948" s="109"/>
      <c r="BI948" s="110"/>
      <c r="BJ948" s="109"/>
      <c r="BK948" s="111"/>
      <c r="BL948" s="109"/>
      <c r="BM948" s="109"/>
      <c r="BN948" s="110"/>
      <c r="BO948" s="109"/>
      <c r="BP948" s="111"/>
      <c r="BQ948" s="109"/>
      <c r="BR948" s="109"/>
      <c r="BS948" s="110"/>
      <c r="BT948" s="109"/>
      <c r="BU948" s="111"/>
      <c r="BV948" s="109"/>
      <c r="BW948" s="109"/>
      <c r="BX948" s="110"/>
      <c r="BY948" s="109"/>
      <c r="BZ948" s="111"/>
      <c r="CA948" s="109"/>
      <c r="CB948" s="109"/>
      <c r="CC948" s="110"/>
      <c r="CD948" s="109"/>
      <c r="CE948" s="111"/>
      <c r="CF948" s="109"/>
      <c r="CG948" s="109"/>
      <c r="CH948" s="110"/>
      <c r="CI948" s="109"/>
      <c r="CJ948" s="111"/>
      <c r="CK948" s="109"/>
      <c r="CL948" s="109"/>
      <c r="CM948" s="110"/>
      <c r="CN948" s="109"/>
      <c r="CO948" s="111"/>
      <c r="CP948" s="109"/>
      <c r="CQ948" s="109"/>
      <c r="CR948" s="110"/>
      <c r="CS948" s="109"/>
      <c r="CT948" s="111"/>
      <c r="CU948" s="109"/>
      <c r="CV948" s="109"/>
      <c r="CW948" s="110"/>
      <c r="CX948" s="109"/>
      <c r="CY948" s="111"/>
      <c r="CZ948" s="109"/>
      <c r="DA948" s="109"/>
      <c r="DB948" s="110"/>
      <c r="DC948" s="109"/>
      <c r="DD948" s="111"/>
      <c r="DE948" s="109"/>
      <c r="DF948" s="109"/>
      <c r="DG948" s="110"/>
      <c r="DH948" s="109"/>
      <c r="DI948" s="111"/>
      <c r="DJ948" s="109"/>
      <c r="DK948" s="109"/>
      <c r="DL948" s="110"/>
      <c r="DM948" s="109"/>
      <c r="DN948" s="111"/>
      <c r="DO948" s="109"/>
      <c r="DP948" s="109"/>
      <c r="DQ948" s="110"/>
      <c r="DR948" s="109"/>
      <c r="DS948" s="111"/>
      <c r="DT948" s="109"/>
      <c r="DU948" s="109"/>
      <c r="DV948" s="110"/>
      <c r="DW948" s="109"/>
      <c r="DX948" s="111"/>
      <c r="DY948" s="109"/>
      <c r="DZ948" s="109"/>
      <c r="EA948" s="110"/>
      <c r="EB948" s="109"/>
      <c r="EC948" s="111"/>
      <c r="ED948" s="109"/>
      <c r="EE948" s="109"/>
      <c r="EF948" s="110"/>
      <c r="EG948" s="109"/>
      <c r="EH948" s="111"/>
      <c r="EI948" s="109"/>
      <c r="EJ948" s="109"/>
      <c r="EK948" s="110"/>
      <c r="EL948" s="109"/>
      <c r="EM948" s="111"/>
      <c r="EN948" s="109"/>
      <c r="EO948" s="109"/>
      <c r="EP948" s="110"/>
      <c r="EQ948" s="109"/>
      <c r="ER948" s="111"/>
      <c r="ES948" s="109"/>
      <c r="ET948" s="109"/>
      <c r="EU948" s="110"/>
      <c r="EV948" s="109"/>
      <c r="EW948" s="111"/>
      <c r="EX948" s="109"/>
      <c r="EY948" s="109"/>
      <c r="EZ948" s="110"/>
      <c r="FA948" s="109"/>
      <c r="FB948" s="111"/>
      <c r="FC948" s="109"/>
      <c r="FD948" s="109"/>
      <c r="FE948" s="110"/>
      <c r="FF948" s="109"/>
      <c r="FG948" s="111"/>
      <c r="FH948" s="109"/>
      <c r="FI948" s="109"/>
      <c r="FJ948" s="110"/>
      <c r="FK948" s="109"/>
      <c r="FL948" s="111"/>
      <c r="FM948" s="109"/>
      <c r="FN948" s="109"/>
      <c r="FO948" s="110"/>
      <c r="FP948" s="109"/>
      <c r="FQ948" s="111"/>
      <c r="FR948" s="109"/>
      <c r="FS948" s="109"/>
      <c r="FT948" s="110"/>
      <c r="FU948" s="109"/>
      <c r="FV948" s="111"/>
      <c r="FW948" s="109"/>
      <c r="FX948" s="109"/>
      <c r="FY948" s="110"/>
      <c r="FZ948" s="109"/>
      <c r="GA948" s="111"/>
      <c r="GB948" s="109"/>
      <c r="GC948" s="109"/>
      <c r="GD948" s="110"/>
      <c r="GE948" s="109"/>
      <c r="GF948" s="111"/>
      <c r="GG948" s="109"/>
      <c r="GH948" s="109"/>
      <c r="GI948" s="110"/>
      <c r="GJ948" s="109"/>
      <c r="GK948" s="111"/>
      <c r="GL948" s="109"/>
      <c r="GM948" s="109"/>
      <c r="GN948" s="110"/>
      <c r="GO948" s="109"/>
      <c r="GP948" s="111"/>
      <c r="GQ948" s="109"/>
      <c r="GR948" s="109"/>
      <c r="GS948" s="110"/>
      <c r="GT948" s="109"/>
      <c r="GU948" s="111"/>
      <c r="GV948" s="109"/>
      <c r="GW948" s="109"/>
      <c r="GX948" s="110"/>
      <c r="GY948" s="109"/>
      <c r="GZ948" s="111"/>
      <c r="HA948" s="109"/>
      <c r="HB948" s="109"/>
      <c r="HC948" s="110"/>
      <c r="HD948" s="109"/>
      <c r="HE948" s="111"/>
      <c r="HF948" s="109"/>
      <c r="HG948" s="109"/>
      <c r="HH948" s="110"/>
      <c r="HI948" s="109"/>
      <c r="HJ948" s="111"/>
      <c r="HK948" s="109"/>
      <c r="HL948" s="109"/>
      <c r="HM948" s="110"/>
      <c r="HN948" s="109"/>
      <c r="HO948" s="111"/>
      <c r="HP948" s="109"/>
      <c r="HQ948" s="109"/>
      <c r="HR948" s="110"/>
      <c r="HS948" s="109"/>
      <c r="HT948" s="111"/>
      <c r="HU948" s="109"/>
      <c r="HV948" s="109"/>
      <c r="HW948" s="110"/>
      <c r="HX948" s="109"/>
      <c r="HY948" s="111"/>
      <c r="HZ948" s="109"/>
      <c r="IA948" s="109"/>
      <c r="IB948" s="110"/>
      <c r="IC948" s="109"/>
      <c r="ID948" s="111"/>
      <c r="IE948" s="109"/>
      <c r="IF948" s="109"/>
      <c r="IG948" s="110"/>
      <c r="IH948" s="109"/>
      <c r="II948" s="111"/>
      <c r="IJ948" s="109"/>
      <c r="IK948" s="109"/>
      <c r="IL948" s="110"/>
      <c r="IM948" s="109"/>
      <c r="IN948" s="111"/>
      <c r="IO948" s="109"/>
      <c r="IP948" s="109"/>
      <c r="IQ948" s="110"/>
      <c r="IR948" s="109"/>
      <c r="IS948" s="111"/>
      <c r="IT948" s="109"/>
      <c r="IU948" s="109"/>
      <c r="IV948" s="110"/>
    </row>
    <row r="949" spans="1:256" s="123" customFormat="1" ht="14.25">
      <c r="A949" s="134">
        <v>37229</v>
      </c>
      <c r="B949" s="111">
        <v>60.9763</v>
      </c>
      <c r="C949" s="111">
        <f t="shared" si="15"/>
        <v>0.060976300000000004</v>
      </c>
      <c r="D949" s="111">
        <v>36.9409</v>
      </c>
      <c r="E949" s="111">
        <v>41.3904</v>
      </c>
      <c r="F949" s="131"/>
      <c r="G949" s="109"/>
      <c r="H949" s="111"/>
      <c r="I949" s="109"/>
      <c r="J949" s="109"/>
      <c r="K949" s="110"/>
      <c r="L949" s="109"/>
      <c r="M949" s="111"/>
      <c r="N949" s="109"/>
      <c r="O949" s="109"/>
      <c r="P949" s="110"/>
      <c r="Q949" s="109"/>
      <c r="R949" s="111"/>
      <c r="S949" s="109"/>
      <c r="T949" s="109"/>
      <c r="U949" s="110"/>
      <c r="V949" s="109"/>
      <c r="W949" s="111"/>
      <c r="X949" s="109"/>
      <c r="Y949" s="109"/>
      <c r="Z949" s="110"/>
      <c r="AA949" s="109"/>
      <c r="AB949" s="111"/>
      <c r="AC949" s="109"/>
      <c r="AD949" s="109"/>
      <c r="AE949" s="110"/>
      <c r="AF949" s="109"/>
      <c r="AG949" s="111"/>
      <c r="AH949" s="109"/>
      <c r="AI949" s="109"/>
      <c r="AJ949" s="110"/>
      <c r="AK949" s="109"/>
      <c r="AL949" s="111"/>
      <c r="AM949" s="109"/>
      <c r="AN949" s="109"/>
      <c r="AO949" s="110"/>
      <c r="AP949" s="109"/>
      <c r="AQ949" s="111"/>
      <c r="AR949" s="109"/>
      <c r="AS949" s="109"/>
      <c r="AT949" s="110"/>
      <c r="AU949" s="109"/>
      <c r="AV949" s="111"/>
      <c r="AW949" s="109"/>
      <c r="AX949" s="109"/>
      <c r="AY949" s="110"/>
      <c r="AZ949" s="109"/>
      <c r="BA949" s="111"/>
      <c r="BB949" s="109"/>
      <c r="BC949" s="109"/>
      <c r="BD949" s="110"/>
      <c r="BE949" s="109"/>
      <c r="BF949" s="111"/>
      <c r="BG949" s="109"/>
      <c r="BH949" s="109"/>
      <c r="BI949" s="110"/>
      <c r="BJ949" s="109"/>
      <c r="BK949" s="111"/>
      <c r="BL949" s="109"/>
      <c r="BM949" s="109"/>
      <c r="BN949" s="110"/>
      <c r="BO949" s="109"/>
      <c r="BP949" s="111"/>
      <c r="BQ949" s="109"/>
      <c r="BR949" s="109"/>
      <c r="BS949" s="110"/>
      <c r="BT949" s="109"/>
      <c r="BU949" s="111"/>
      <c r="BV949" s="109"/>
      <c r="BW949" s="109"/>
      <c r="BX949" s="110"/>
      <c r="BY949" s="109"/>
      <c r="BZ949" s="111"/>
      <c r="CA949" s="109"/>
      <c r="CB949" s="109"/>
      <c r="CC949" s="110"/>
      <c r="CD949" s="109"/>
      <c r="CE949" s="111"/>
      <c r="CF949" s="109"/>
      <c r="CG949" s="109"/>
      <c r="CH949" s="110"/>
      <c r="CI949" s="109"/>
      <c r="CJ949" s="111"/>
      <c r="CK949" s="109"/>
      <c r="CL949" s="109"/>
      <c r="CM949" s="110"/>
      <c r="CN949" s="109"/>
      <c r="CO949" s="111"/>
      <c r="CP949" s="109"/>
      <c r="CQ949" s="109"/>
      <c r="CR949" s="110"/>
      <c r="CS949" s="109"/>
      <c r="CT949" s="111"/>
      <c r="CU949" s="109"/>
      <c r="CV949" s="109"/>
      <c r="CW949" s="110"/>
      <c r="CX949" s="109"/>
      <c r="CY949" s="111"/>
      <c r="CZ949" s="109"/>
      <c r="DA949" s="109"/>
      <c r="DB949" s="110"/>
      <c r="DC949" s="109"/>
      <c r="DD949" s="111"/>
      <c r="DE949" s="109"/>
      <c r="DF949" s="109"/>
      <c r="DG949" s="110"/>
      <c r="DH949" s="109"/>
      <c r="DI949" s="111"/>
      <c r="DJ949" s="109"/>
      <c r="DK949" s="109"/>
      <c r="DL949" s="110"/>
      <c r="DM949" s="109"/>
      <c r="DN949" s="111"/>
      <c r="DO949" s="109"/>
      <c r="DP949" s="109"/>
      <c r="DQ949" s="110"/>
      <c r="DR949" s="109"/>
      <c r="DS949" s="111"/>
      <c r="DT949" s="109"/>
      <c r="DU949" s="109"/>
      <c r="DV949" s="110"/>
      <c r="DW949" s="109"/>
      <c r="DX949" s="111"/>
      <c r="DY949" s="109"/>
      <c r="DZ949" s="109"/>
      <c r="EA949" s="110"/>
      <c r="EB949" s="109"/>
      <c r="EC949" s="111"/>
      <c r="ED949" s="109"/>
      <c r="EE949" s="109"/>
      <c r="EF949" s="110"/>
      <c r="EG949" s="109"/>
      <c r="EH949" s="111"/>
      <c r="EI949" s="109"/>
      <c r="EJ949" s="109"/>
      <c r="EK949" s="110"/>
      <c r="EL949" s="109"/>
      <c r="EM949" s="111"/>
      <c r="EN949" s="109"/>
      <c r="EO949" s="109"/>
      <c r="EP949" s="110"/>
      <c r="EQ949" s="109"/>
      <c r="ER949" s="111"/>
      <c r="ES949" s="109"/>
      <c r="ET949" s="109"/>
      <c r="EU949" s="110"/>
      <c r="EV949" s="109"/>
      <c r="EW949" s="111"/>
      <c r="EX949" s="109"/>
      <c r="EY949" s="109"/>
      <c r="EZ949" s="110"/>
      <c r="FA949" s="109"/>
      <c r="FB949" s="111"/>
      <c r="FC949" s="109"/>
      <c r="FD949" s="109"/>
      <c r="FE949" s="110"/>
      <c r="FF949" s="109"/>
      <c r="FG949" s="111"/>
      <c r="FH949" s="109"/>
      <c r="FI949" s="109"/>
      <c r="FJ949" s="110"/>
      <c r="FK949" s="109"/>
      <c r="FL949" s="111"/>
      <c r="FM949" s="109"/>
      <c r="FN949" s="109"/>
      <c r="FO949" s="110"/>
      <c r="FP949" s="109"/>
      <c r="FQ949" s="111"/>
      <c r="FR949" s="109"/>
      <c r="FS949" s="109"/>
      <c r="FT949" s="110"/>
      <c r="FU949" s="109"/>
      <c r="FV949" s="111"/>
      <c r="FW949" s="109"/>
      <c r="FX949" s="109"/>
      <c r="FY949" s="110"/>
      <c r="FZ949" s="109"/>
      <c r="GA949" s="111"/>
      <c r="GB949" s="109"/>
      <c r="GC949" s="109"/>
      <c r="GD949" s="110"/>
      <c r="GE949" s="109"/>
      <c r="GF949" s="111"/>
      <c r="GG949" s="109"/>
      <c r="GH949" s="109"/>
      <c r="GI949" s="110"/>
      <c r="GJ949" s="109"/>
      <c r="GK949" s="111"/>
      <c r="GL949" s="109"/>
      <c r="GM949" s="109"/>
      <c r="GN949" s="110"/>
      <c r="GO949" s="109"/>
      <c r="GP949" s="111"/>
      <c r="GQ949" s="109"/>
      <c r="GR949" s="109"/>
      <c r="GS949" s="110"/>
      <c r="GT949" s="109"/>
      <c r="GU949" s="111"/>
      <c r="GV949" s="109"/>
      <c r="GW949" s="109"/>
      <c r="GX949" s="110"/>
      <c r="GY949" s="109"/>
      <c r="GZ949" s="111"/>
      <c r="HA949" s="109"/>
      <c r="HB949" s="109"/>
      <c r="HC949" s="110"/>
      <c r="HD949" s="109"/>
      <c r="HE949" s="111"/>
      <c r="HF949" s="109"/>
      <c r="HG949" s="109"/>
      <c r="HH949" s="110"/>
      <c r="HI949" s="109"/>
      <c r="HJ949" s="111"/>
      <c r="HK949" s="109"/>
      <c r="HL949" s="109"/>
      <c r="HM949" s="110"/>
      <c r="HN949" s="109"/>
      <c r="HO949" s="111"/>
      <c r="HP949" s="109"/>
      <c r="HQ949" s="109"/>
      <c r="HR949" s="110"/>
      <c r="HS949" s="109"/>
      <c r="HT949" s="111"/>
      <c r="HU949" s="109"/>
      <c r="HV949" s="109"/>
      <c r="HW949" s="110"/>
      <c r="HX949" s="109"/>
      <c r="HY949" s="111"/>
      <c r="HZ949" s="109"/>
      <c r="IA949" s="109"/>
      <c r="IB949" s="110"/>
      <c r="IC949" s="109"/>
      <c r="ID949" s="111"/>
      <c r="IE949" s="109"/>
      <c r="IF949" s="109"/>
      <c r="IG949" s="110"/>
      <c r="IH949" s="109"/>
      <c r="II949" s="111"/>
      <c r="IJ949" s="109"/>
      <c r="IK949" s="109"/>
      <c r="IL949" s="110"/>
      <c r="IM949" s="109"/>
      <c r="IN949" s="111"/>
      <c r="IO949" s="109"/>
      <c r="IP949" s="109"/>
      <c r="IQ949" s="110"/>
      <c r="IR949" s="109"/>
      <c r="IS949" s="111"/>
      <c r="IT949" s="109"/>
      <c r="IU949" s="109"/>
      <c r="IV949" s="110"/>
    </row>
    <row r="950" spans="1:256" s="123" customFormat="1" ht="14.25">
      <c r="A950" s="134">
        <v>37230</v>
      </c>
      <c r="B950" s="111">
        <v>59.8621</v>
      </c>
      <c r="C950" s="111">
        <f t="shared" si="15"/>
        <v>0.0598621</v>
      </c>
      <c r="D950" s="111">
        <v>36.1872</v>
      </c>
      <c r="E950" s="111">
        <v>40.6506</v>
      </c>
      <c r="F950" s="131"/>
      <c r="G950" s="109"/>
      <c r="H950" s="111"/>
      <c r="I950" s="109"/>
      <c r="J950" s="109"/>
      <c r="K950" s="110"/>
      <c r="L950" s="109"/>
      <c r="M950" s="111"/>
      <c r="N950" s="109"/>
      <c r="O950" s="109"/>
      <c r="P950" s="110"/>
      <c r="Q950" s="109"/>
      <c r="R950" s="111"/>
      <c r="S950" s="109"/>
      <c r="T950" s="109"/>
      <c r="U950" s="110"/>
      <c r="V950" s="109"/>
      <c r="W950" s="111"/>
      <c r="X950" s="109"/>
      <c r="Y950" s="109"/>
      <c r="Z950" s="110"/>
      <c r="AA950" s="109"/>
      <c r="AB950" s="111"/>
      <c r="AC950" s="109"/>
      <c r="AD950" s="109"/>
      <c r="AE950" s="110"/>
      <c r="AF950" s="109"/>
      <c r="AG950" s="111"/>
      <c r="AH950" s="109"/>
      <c r="AI950" s="109"/>
      <c r="AJ950" s="110"/>
      <c r="AK950" s="109"/>
      <c r="AL950" s="111"/>
      <c r="AM950" s="109"/>
      <c r="AN950" s="109"/>
      <c r="AO950" s="110"/>
      <c r="AP950" s="109"/>
      <c r="AQ950" s="111"/>
      <c r="AR950" s="109"/>
      <c r="AS950" s="109"/>
      <c r="AT950" s="110"/>
      <c r="AU950" s="109"/>
      <c r="AV950" s="111"/>
      <c r="AW950" s="109"/>
      <c r="AX950" s="109"/>
      <c r="AY950" s="110"/>
      <c r="AZ950" s="109"/>
      <c r="BA950" s="111"/>
      <c r="BB950" s="109"/>
      <c r="BC950" s="109"/>
      <c r="BD950" s="110"/>
      <c r="BE950" s="109"/>
      <c r="BF950" s="111"/>
      <c r="BG950" s="109"/>
      <c r="BH950" s="109"/>
      <c r="BI950" s="110"/>
      <c r="BJ950" s="109"/>
      <c r="BK950" s="111"/>
      <c r="BL950" s="109"/>
      <c r="BM950" s="109"/>
      <c r="BN950" s="110"/>
      <c r="BO950" s="109"/>
      <c r="BP950" s="111"/>
      <c r="BQ950" s="109"/>
      <c r="BR950" s="109"/>
      <c r="BS950" s="110"/>
      <c r="BT950" s="109"/>
      <c r="BU950" s="111"/>
      <c r="BV950" s="109"/>
      <c r="BW950" s="109"/>
      <c r="BX950" s="110"/>
      <c r="BY950" s="109"/>
      <c r="BZ950" s="111"/>
      <c r="CA950" s="109"/>
      <c r="CB950" s="109"/>
      <c r="CC950" s="110"/>
      <c r="CD950" s="109"/>
      <c r="CE950" s="111"/>
      <c r="CF950" s="109"/>
      <c r="CG950" s="109"/>
      <c r="CH950" s="110"/>
      <c r="CI950" s="109"/>
      <c r="CJ950" s="111"/>
      <c r="CK950" s="109"/>
      <c r="CL950" s="109"/>
      <c r="CM950" s="110"/>
      <c r="CN950" s="109"/>
      <c r="CO950" s="111"/>
      <c r="CP950" s="109"/>
      <c r="CQ950" s="109"/>
      <c r="CR950" s="110"/>
      <c r="CS950" s="109"/>
      <c r="CT950" s="111"/>
      <c r="CU950" s="109"/>
      <c r="CV950" s="109"/>
      <c r="CW950" s="110"/>
      <c r="CX950" s="109"/>
      <c r="CY950" s="111"/>
      <c r="CZ950" s="109"/>
      <c r="DA950" s="109"/>
      <c r="DB950" s="110"/>
      <c r="DC950" s="109"/>
      <c r="DD950" s="111"/>
      <c r="DE950" s="109"/>
      <c r="DF950" s="109"/>
      <c r="DG950" s="110"/>
      <c r="DH950" s="109"/>
      <c r="DI950" s="111"/>
      <c r="DJ950" s="109"/>
      <c r="DK950" s="109"/>
      <c r="DL950" s="110"/>
      <c r="DM950" s="109"/>
      <c r="DN950" s="111"/>
      <c r="DO950" s="109"/>
      <c r="DP950" s="109"/>
      <c r="DQ950" s="110"/>
      <c r="DR950" s="109"/>
      <c r="DS950" s="111"/>
      <c r="DT950" s="109"/>
      <c r="DU950" s="109"/>
      <c r="DV950" s="110"/>
      <c r="DW950" s="109"/>
      <c r="DX950" s="111"/>
      <c r="DY950" s="109"/>
      <c r="DZ950" s="109"/>
      <c r="EA950" s="110"/>
      <c r="EB950" s="109"/>
      <c r="EC950" s="111"/>
      <c r="ED950" s="109"/>
      <c r="EE950" s="109"/>
      <c r="EF950" s="110"/>
      <c r="EG950" s="109"/>
      <c r="EH950" s="111"/>
      <c r="EI950" s="109"/>
      <c r="EJ950" s="109"/>
      <c r="EK950" s="110"/>
      <c r="EL950" s="109"/>
      <c r="EM950" s="111"/>
      <c r="EN950" s="109"/>
      <c r="EO950" s="109"/>
      <c r="EP950" s="110"/>
      <c r="EQ950" s="109"/>
      <c r="ER950" s="111"/>
      <c r="ES950" s="109"/>
      <c r="ET950" s="109"/>
      <c r="EU950" s="110"/>
      <c r="EV950" s="109"/>
      <c r="EW950" s="111"/>
      <c r="EX950" s="109"/>
      <c r="EY950" s="109"/>
      <c r="EZ950" s="110"/>
      <c r="FA950" s="109"/>
      <c r="FB950" s="111"/>
      <c r="FC950" s="109"/>
      <c r="FD950" s="109"/>
      <c r="FE950" s="110"/>
      <c r="FF950" s="109"/>
      <c r="FG950" s="111"/>
      <c r="FH950" s="109"/>
      <c r="FI950" s="109"/>
      <c r="FJ950" s="110"/>
      <c r="FK950" s="109"/>
      <c r="FL950" s="111"/>
      <c r="FM950" s="109"/>
      <c r="FN950" s="109"/>
      <c r="FO950" s="110"/>
      <c r="FP950" s="109"/>
      <c r="FQ950" s="111"/>
      <c r="FR950" s="109"/>
      <c r="FS950" s="109"/>
      <c r="FT950" s="110"/>
      <c r="FU950" s="109"/>
      <c r="FV950" s="111"/>
      <c r="FW950" s="109"/>
      <c r="FX950" s="109"/>
      <c r="FY950" s="110"/>
      <c r="FZ950" s="109"/>
      <c r="GA950" s="111"/>
      <c r="GB950" s="109"/>
      <c r="GC950" s="109"/>
      <c r="GD950" s="110"/>
      <c r="GE950" s="109"/>
      <c r="GF950" s="111"/>
      <c r="GG950" s="109"/>
      <c r="GH950" s="109"/>
      <c r="GI950" s="110"/>
      <c r="GJ950" s="109"/>
      <c r="GK950" s="111"/>
      <c r="GL950" s="109"/>
      <c r="GM950" s="109"/>
      <c r="GN950" s="110"/>
      <c r="GO950" s="109"/>
      <c r="GP950" s="111"/>
      <c r="GQ950" s="109"/>
      <c r="GR950" s="109"/>
      <c r="GS950" s="110"/>
      <c r="GT950" s="109"/>
      <c r="GU950" s="111"/>
      <c r="GV950" s="109"/>
      <c r="GW950" s="109"/>
      <c r="GX950" s="110"/>
      <c r="GY950" s="109"/>
      <c r="GZ950" s="111"/>
      <c r="HA950" s="109"/>
      <c r="HB950" s="109"/>
      <c r="HC950" s="110"/>
      <c r="HD950" s="109"/>
      <c r="HE950" s="111"/>
      <c r="HF950" s="109"/>
      <c r="HG950" s="109"/>
      <c r="HH950" s="110"/>
      <c r="HI950" s="109"/>
      <c r="HJ950" s="111"/>
      <c r="HK950" s="109"/>
      <c r="HL950" s="109"/>
      <c r="HM950" s="110"/>
      <c r="HN950" s="109"/>
      <c r="HO950" s="111"/>
      <c r="HP950" s="109"/>
      <c r="HQ950" s="109"/>
      <c r="HR950" s="110"/>
      <c r="HS950" s="109"/>
      <c r="HT950" s="111"/>
      <c r="HU950" s="109"/>
      <c r="HV950" s="109"/>
      <c r="HW950" s="110"/>
      <c r="HX950" s="109"/>
      <c r="HY950" s="111"/>
      <c r="HZ950" s="109"/>
      <c r="IA950" s="109"/>
      <c r="IB950" s="110"/>
      <c r="IC950" s="109"/>
      <c r="ID950" s="111"/>
      <c r="IE950" s="109"/>
      <c r="IF950" s="109"/>
      <c r="IG950" s="110"/>
      <c r="IH950" s="109"/>
      <c r="II950" s="111"/>
      <c r="IJ950" s="109"/>
      <c r="IK950" s="109"/>
      <c r="IL950" s="110"/>
      <c r="IM950" s="109"/>
      <c r="IN950" s="111"/>
      <c r="IO950" s="109"/>
      <c r="IP950" s="109"/>
      <c r="IQ950" s="110"/>
      <c r="IR950" s="109"/>
      <c r="IS950" s="111"/>
      <c r="IT950" s="109"/>
      <c r="IU950" s="109"/>
      <c r="IV950" s="110"/>
    </row>
    <row r="951" spans="1:256" s="123" customFormat="1" ht="14.25">
      <c r="A951" s="134">
        <v>37231</v>
      </c>
      <c r="B951" s="111">
        <v>51.6073</v>
      </c>
      <c r="C951" s="111">
        <f t="shared" si="15"/>
        <v>0.0516073</v>
      </c>
      <c r="D951" s="111">
        <v>31.2122</v>
      </c>
      <c r="E951" s="111">
        <v>34.9951</v>
      </c>
      <c r="F951" s="131"/>
      <c r="G951" s="109"/>
      <c r="H951" s="111"/>
      <c r="I951" s="109"/>
      <c r="J951" s="109"/>
      <c r="K951" s="110"/>
      <c r="L951" s="109"/>
      <c r="M951" s="111"/>
      <c r="N951" s="109"/>
      <c r="O951" s="109"/>
      <c r="P951" s="110"/>
      <c r="Q951" s="109"/>
      <c r="R951" s="111"/>
      <c r="S951" s="109"/>
      <c r="T951" s="109"/>
      <c r="U951" s="110"/>
      <c r="V951" s="109"/>
      <c r="W951" s="111"/>
      <c r="X951" s="109"/>
      <c r="Y951" s="109"/>
      <c r="Z951" s="110"/>
      <c r="AA951" s="109"/>
      <c r="AB951" s="111"/>
      <c r="AC951" s="109"/>
      <c r="AD951" s="109"/>
      <c r="AE951" s="110"/>
      <c r="AF951" s="109"/>
      <c r="AG951" s="111"/>
      <c r="AH951" s="109"/>
      <c r="AI951" s="109"/>
      <c r="AJ951" s="110"/>
      <c r="AK951" s="109"/>
      <c r="AL951" s="111"/>
      <c r="AM951" s="109"/>
      <c r="AN951" s="109"/>
      <c r="AO951" s="110"/>
      <c r="AP951" s="109"/>
      <c r="AQ951" s="111"/>
      <c r="AR951" s="109"/>
      <c r="AS951" s="109"/>
      <c r="AT951" s="110"/>
      <c r="AU951" s="109"/>
      <c r="AV951" s="111"/>
      <c r="AW951" s="109"/>
      <c r="AX951" s="109"/>
      <c r="AY951" s="110"/>
      <c r="AZ951" s="109"/>
      <c r="BA951" s="111"/>
      <c r="BB951" s="109"/>
      <c r="BC951" s="109"/>
      <c r="BD951" s="110"/>
      <c r="BE951" s="109"/>
      <c r="BF951" s="111"/>
      <c r="BG951" s="109"/>
      <c r="BH951" s="109"/>
      <c r="BI951" s="110"/>
      <c r="BJ951" s="109"/>
      <c r="BK951" s="111"/>
      <c r="BL951" s="109"/>
      <c r="BM951" s="109"/>
      <c r="BN951" s="110"/>
      <c r="BO951" s="109"/>
      <c r="BP951" s="111"/>
      <c r="BQ951" s="109"/>
      <c r="BR951" s="109"/>
      <c r="BS951" s="110"/>
      <c r="BT951" s="109"/>
      <c r="BU951" s="111"/>
      <c r="BV951" s="109"/>
      <c r="BW951" s="109"/>
      <c r="BX951" s="110"/>
      <c r="BY951" s="109"/>
      <c r="BZ951" s="111"/>
      <c r="CA951" s="109"/>
      <c r="CB951" s="109"/>
      <c r="CC951" s="110"/>
      <c r="CD951" s="109"/>
      <c r="CE951" s="111"/>
      <c r="CF951" s="109"/>
      <c r="CG951" s="109"/>
      <c r="CH951" s="110"/>
      <c r="CI951" s="109"/>
      <c r="CJ951" s="111"/>
      <c r="CK951" s="109"/>
      <c r="CL951" s="109"/>
      <c r="CM951" s="110"/>
      <c r="CN951" s="109"/>
      <c r="CO951" s="111"/>
      <c r="CP951" s="109"/>
      <c r="CQ951" s="109"/>
      <c r="CR951" s="110"/>
      <c r="CS951" s="109"/>
      <c r="CT951" s="111"/>
      <c r="CU951" s="109"/>
      <c r="CV951" s="109"/>
      <c r="CW951" s="110"/>
      <c r="CX951" s="109"/>
      <c r="CY951" s="111"/>
      <c r="CZ951" s="109"/>
      <c r="DA951" s="109"/>
      <c r="DB951" s="110"/>
      <c r="DC951" s="109"/>
      <c r="DD951" s="111"/>
      <c r="DE951" s="109"/>
      <c r="DF951" s="109"/>
      <c r="DG951" s="110"/>
      <c r="DH951" s="109"/>
      <c r="DI951" s="111"/>
      <c r="DJ951" s="109"/>
      <c r="DK951" s="109"/>
      <c r="DL951" s="110"/>
      <c r="DM951" s="109"/>
      <c r="DN951" s="111"/>
      <c r="DO951" s="109"/>
      <c r="DP951" s="109"/>
      <c r="DQ951" s="110"/>
      <c r="DR951" s="109"/>
      <c r="DS951" s="111"/>
      <c r="DT951" s="109"/>
      <c r="DU951" s="109"/>
      <c r="DV951" s="110"/>
      <c r="DW951" s="109"/>
      <c r="DX951" s="111"/>
      <c r="DY951" s="109"/>
      <c r="DZ951" s="109"/>
      <c r="EA951" s="110"/>
      <c r="EB951" s="109"/>
      <c r="EC951" s="111"/>
      <c r="ED951" s="109"/>
      <c r="EE951" s="109"/>
      <c r="EF951" s="110"/>
      <c r="EG951" s="109"/>
      <c r="EH951" s="111"/>
      <c r="EI951" s="109"/>
      <c r="EJ951" s="109"/>
      <c r="EK951" s="110"/>
      <c r="EL951" s="109"/>
      <c r="EM951" s="111"/>
      <c r="EN951" s="109"/>
      <c r="EO951" s="109"/>
      <c r="EP951" s="110"/>
      <c r="EQ951" s="109"/>
      <c r="ER951" s="111"/>
      <c r="ES951" s="109"/>
      <c r="ET951" s="109"/>
      <c r="EU951" s="110"/>
      <c r="EV951" s="109"/>
      <c r="EW951" s="111"/>
      <c r="EX951" s="109"/>
      <c r="EY951" s="109"/>
      <c r="EZ951" s="110"/>
      <c r="FA951" s="109"/>
      <c r="FB951" s="111"/>
      <c r="FC951" s="109"/>
      <c r="FD951" s="109"/>
      <c r="FE951" s="110"/>
      <c r="FF951" s="109"/>
      <c r="FG951" s="111"/>
      <c r="FH951" s="109"/>
      <c r="FI951" s="109"/>
      <c r="FJ951" s="110"/>
      <c r="FK951" s="109"/>
      <c r="FL951" s="111"/>
      <c r="FM951" s="109"/>
      <c r="FN951" s="109"/>
      <c r="FO951" s="110"/>
      <c r="FP951" s="109"/>
      <c r="FQ951" s="111"/>
      <c r="FR951" s="109"/>
      <c r="FS951" s="109"/>
      <c r="FT951" s="110"/>
      <c r="FU951" s="109"/>
      <c r="FV951" s="111"/>
      <c r="FW951" s="109"/>
      <c r="FX951" s="109"/>
      <c r="FY951" s="110"/>
      <c r="FZ951" s="109"/>
      <c r="GA951" s="111"/>
      <c r="GB951" s="109"/>
      <c r="GC951" s="109"/>
      <c r="GD951" s="110"/>
      <c r="GE951" s="109"/>
      <c r="GF951" s="111"/>
      <c r="GG951" s="109"/>
      <c r="GH951" s="109"/>
      <c r="GI951" s="110"/>
      <c r="GJ951" s="109"/>
      <c r="GK951" s="111"/>
      <c r="GL951" s="109"/>
      <c r="GM951" s="109"/>
      <c r="GN951" s="110"/>
      <c r="GO951" s="109"/>
      <c r="GP951" s="111"/>
      <c r="GQ951" s="109"/>
      <c r="GR951" s="109"/>
      <c r="GS951" s="110"/>
      <c r="GT951" s="109"/>
      <c r="GU951" s="111"/>
      <c r="GV951" s="109"/>
      <c r="GW951" s="109"/>
      <c r="GX951" s="110"/>
      <c r="GY951" s="109"/>
      <c r="GZ951" s="111"/>
      <c r="HA951" s="109"/>
      <c r="HB951" s="109"/>
      <c r="HC951" s="110"/>
      <c r="HD951" s="109"/>
      <c r="HE951" s="111"/>
      <c r="HF951" s="109"/>
      <c r="HG951" s="109"/>
      <c r="HH951" s="110"/>
      <c r="HI951" s="109"/>
      <c r="HJ951" s="111"/>
      <c r="HK951" s="109"/>
      <c r="HL951" s="109"/>
      <c r="HM951" s="110"/>
      <c r="HN951" s="109"/>
      <c r="HO951" s="111"/>
      <c r="HP951" s="109"/>
      <c r="HQ951" s="109"/>
      <c r="HR951" s="110"/>
      <c r="HS951" s="109"/>
      <c r="HT951" s="111"/>
      <c r="HU951" s="109"/>
      <c r="HV951" s="109"/>
      <c r="HW951" s="110"/>
      <c r="HX951" s="109"/>
      <c r="HY951" s="111"/>
      <c r="HZ951" s="109"/>
      <c r="IA951" s="109"/>
      <c r="IB951" s="110"/>
      <c r="IC951" s="109"/>
      <c r="ID951" s="111"/>
      <c r="IE951" s="109"/>
      <c r="IF951" s="109"/>
      <c r="IG951" s="110"/>
      <c r="IH951" s="109"/>
      <c r="II951" s="111"/>
      <c r="IJ951" s="109"/>
      <c r="IK951" s="109"/>
      <c r="IL951" s="110"/>
      <c r="IM951" s="109"/>
      <c r="IN951" s="111"/>
      <c r="IO951" s="109"/>
      <c r="IP951" s="109"/>
      <c r="IQ951" s="110"/>
      <c r="IR951" s="109"/>
      <c r="IS951" s="111"/>
      <c r="IT951" s="109"/>
      <c r="IU951" s="109"/>
      <c r="IV951" s="110"/>
    </row>
    <row r="952" spans="1:256" s="123" customFormat="1" ht="14.25">
      <c r="A952" s="134">
        <v>37232</v>
      </c>
      <c r="B952" s="111">
        <v>49.9276</v>
      </c>
      <c r="C952" s="111">
        <f t="shared" si="15"/>
        <v>0.0499276</v>
      </c>
      <c r="D952" s="111">
        <v>30.107</v>
      </c>
      <c r="E952" s="111">
        <v>33.8699</v>
      </c>
      <c r="F952" s="131"/>
      <c r="G952" s="109"/>
      <c r="H952" s="111"/>
      <c r="I952" s="109"/>
      <c r="J952" s="109"/>
      <c r="K952" s="110"/>
      <c r="L952" s="109"/>
      <c r="M952" s="111"/>
      <c r="N952" s="109"/>
      <c r="O952" s="109"/>
      <c r="P952" s="110"/>
      <c r="Q952" s="109"/>
      <c r="R952" s="111"/>
      <c r="S952" s="109"/>
      <c r="T952" s="109"/>
      <c r="U952" s="110"/>
      <c r="V952" s="109"/>
      <c r="W952" s="111"/>
      <c r="X952" s="109"/>
      <c r="Y952" s="109"/>
      <c r="Z952" s="110"/>
      <c r="AA952" s="109"/>
      <c r="AB952" s="111"/>
      <c r="AC952" s="109"/>
      <c r="AD952" s="109"/>
      <c r="AE952" s="110"/>
      <c r="AF952" s="109"/>
      <c r="AG952" s="111"/>
      <c r="AH952" s="109"/>
      <c r="AI952" s="109"/>
      <c r="AJ952" s="110"/>
      <c r="AK952" s="109"/>
      <c r="AL952" s="111"/>
      <c r="AM952" s="109"/>
      <c r="AN952" s="109"/>
      <c r="AO952" s="110"/>
      <c r="AP952" s="109"/>
      <c r="AQ952" s="111"/>
      <c r="AR952" s="109"/>
      <c r="AS952" s="109"/>
      <c r="AT952" s="110"/>
      <c r="AU952" s="109"/>
      <c r="AV952" s="111"/>
      <c r="AW952" s="109"/>
      <c r="AX952" s="109"/>
      <c r="AY952" s="110"/>
      <c r="AZ952" s="109"/>
      <c r="BA952" s="111"/>
      <c r="BB952" s="109"/>
      <c r="BC952" s="109"/>
      <c r="BD952" s="110"/>
      <c r="BE952" s="109"/>
      <c r="BF952" s="111"/>
      <c r="BG952" s="109"/>
      <c r="BH952" s="109"/>
      <c r="BI952" s="110"/>
      <c r="BJ952" s="109"/>
      <c r="BK952" s="111"/>
      <c r="BL952" s="109"/>
      <c r="BM952" s="109"/>
      <c r="BN952" s="110"/>
      <c r="BO952" s="109"/>
      <c r="BP952" s="111"/>
      <c r="BQ952" s="109"/>
      <c r="BR952" s="109"/>
      <c r="BS952" s="110"/>
      <c r="BT952" s="109"/>
      <c r="BU952" s="111"/>
      <c r="BV952" s="109"/>
      <c r="BW952" s="109"/>
      <c r="BX952" s="110"/>
      <c r="BY952" s="109"/>
      <c r="BZ952" s="111"/>
      <c r="CA952" s="109"/>
      <c r="CB952" s="109"/>
      <c r="CC952" s="110"/>
      <c r="CD952" s="109"/>
      <c r="CE952" s="111"/>
      <c r="CF952" s="109"/>
      <c r="CG952" s="109"/>
      <c r="CH952" s="110"/>
      <c r="CI952" s="109"/>
      <c r="CJ952" s="111"/>
      <c r="CK952" s="109"/>
      <c r="CL952" s="109"/>
      <c r="CM952" s="110"/>
      <c r="CN952" s="109"/>
      <c r="CO952" s="111"/>
      <c r="CP952" s="109"/>
      <c r="CQ952" s="109"/>
      <c r="CR952" s="110"/>
      <c r="CS952" s="109"/>
      <c r="CT952" s="111"/>
      <c r="CU952" s="109"/>
      <c r="CV952" s="109"/>
      <c r="CW952" s="110"/>
      <c r="CX952" s="109"/>
      <c r="CY952" s="111"/>
      <c r="CZ952" s="109"/>
      <c r="DA952" s="109"/>
      <c r="DB952" s="110"/>
      <c r="DC952" s="109"/>
      <c r="DD952" s="111"/>
      <c r="DE952" s="109"/>
      <c r="DF952" s="109"/>
      <c r="DG952" s="110"/>
      <c r="DH952" s="109"/>
      <c r="DI952" s="111"/>
      <c r="DJ952" s="109"/>
      <c r="DK952" s="109"/>
      <c r="DL952" s="110"/>
      <c r="DM952" s="109"/>
      <c r="DN952" s="111"/>
      <c r="DO952" s="109"/>
      <c r="DP952" s="109"/>
      <c r="DQ952" s="110"/>
      <c r="DR952" s="109"/>
      <c r="DS952" s="111"/>
      <c r="DT952" s="109"/>
      <c r="DU952" s="109"/>
      <c r="DV952" s="110"/>
      <c r="DW952" s="109"/>
      <c r="DX952" s="111"/>
      <c r="DY952" s="109"/>
      <c r="DZ952" s="109"/>
      <c r="EA952" s="110"/>
      <c r="EB952" s="109"/>
      <c r="EC952" s="111"/>
      <c r="ED952" s="109"/>
      <c r="EE952" s="109"/>
      <c r="EF952" s="110"/>
      <c r="EG952" s="109"/>
      <c r="EH952" s="111"/>
      <c r="EI952" s="109"/>
      <c r="EJ952" s="109"/>
      <c r="EK952" s="110"/>
      <c r="EL952" s="109"/>
      <c r="EM952" s="111"/>
      <c r="EN952" s="109"/>
      <c r="EO952" s="109"/>
      <c r="EP952" s="110"/>
      <c r="EQ952" s="109"/>
      <c r="ER952" s="111"/>
      <c r="ES952" s="109"/>
      <c r="ET952" s="109"/>
      <c r="EU952" s="110"/>
      <c r="EV952" s="109"/>
      <c r="EW952" s="111"/>
      <c r="EX952" s="109"/>
      <c r="EY952" s="109"/>
      <c r="EZ952" s="110"/>
      <c r="FA952" s="109"/>
      <c r="FB952" s="111"/>
      <c r="FC952" s="109"/>
      <c r="FD952" s="109"/>
      <c r="FE952" s="110"/>
      <c r="FF952" s="109"/>
      <c r="FG952" s="111"/>
      <c r="FH952" s="109"/>
      <c r="FI952" s="109"/>
      <c r="FJ952" s="110"/>
      <c r="FK952" s="109"/>
      <c r="FL952" s="111"/>
      <c r="FM952" s="109"/>
      <c r="FN952" s="109"/>
      <c r="FO952" s="110"/>
      <c r="FP952" s="109"/>
      <c r="FQ952" s="111"/>
      <c r="FR952" s="109"/>
      <c r="FS952" s="109"/>
      <c r="FT952" s="110"/>
      <c r="FU952" s="109"/>
      <c r="FV952" s="111"/>
      <c r="FW952" s="109"/>
      <c r="FX952" s="109"/>
      <c r="FY952" s="110"/>
      <c r="FZ952" s="109"/>
      <c r="GA952" s="111"/>
      <c r="GB952" s="109"/>
      <c r="GC952" s="109"/>
      <c r="GD952" s="110"/>
      <c r="GE952" s="109"/>
      <c r="GF952" s="111"/>
      <c r="GG952" s="109"/>
      <c r="GH952" s="109"/>
      <c r="GI952" s="110"/>
      <c r="GJ952" s="109"/>
      <c r="GK952" s="111"/>
      <c r="GL952" s="109"/>
      <c r="GM952" s="109"/>
      <c r="GN952" s="110"/>
      <c r="GO952" s="109"/>
      <c r="GP952" s="111"/>
      <c r="GQ952" s="109"/>
      <c r="GR952" s="109"/>
      <c r="GS952" s="110"/>
      <c r="GT952" s="109"/>
      <c r="GU952" s="111"/>
      <c r="GV952" s="109"/>
      <c r="GW952" s="109"/>
      <c r="GX952" s="110"/>
      <c r="GY952" s="109"/>
      <c r="GZ952" s="111"/>
      <c r="HA952" s="109"/>
      <c r="HB952" s="109"/>
      <c r="HC952" s="110"/>
      <c r="HD952" s="109"/>
      <c r="HE952" s="111"/>
      <c r="HF952" s="109"/>
      <c r="HG952" s="109"/>
      <c r="HH952" s="110"/>
      <c r="HI952" s="109"/>
      <c r="HJ952" s="111"/>
      <c r="HK952" s="109"/>
      <c r="HL952" s="109"/>
      <c r="HM952" s="110"/>
      <c r="HN952" s="109"/>
      <c r="HO952" s="111"/>
      <c r="HP952" s="109"/>
      <c r="HQ952" s="109"/>
      <c r="HR952" s="110"/>
      <c r="HS952" s="109"/>
      <c r="HT952" s="111"/>
      <c r="HU952" s="109"/>
      <c r="HV952" s="109"/>
      <c r="HW952" s="110"/>
      <c r="HX952" s="109"/>
      <c r="HY952" s="111"/>
      <c r="HZ952" s="109"/>
      <c r="IA952" s="109"/>
      <c r="IB952" s="110"/>
      <c r="IC952" s="109"/>
      <c r="ID952" s="111"/>
      <c r="IE952" s="109"/>
      <c r="IF952" s="109"/>
      <c r="IG952" s="110"/>
      <c r="IH952" s="109"/>
      <c r="II952" s="111"/>
      <c r="IJ952" s="109"/>
      <c r="IK952" s="109"/>
      <c r="IL952" s="110"/>
      <c r="IM952" s="109"/>
      <c r="IN952" s="111"/>
      <c r="IO952" s="109"/>
      <c r="IP952" s="109"/>
      <c r="IQ952" s="110"/>
      <c r="IR952" s="109"/>
      <c r="IS952" s="111"/>
      <c r="IT952" s="109"/>
      <c r="IU952" s="109"/>
      <c r="IV952" s="110"/>
    </row>
    <row r="953" spans="1:256" s="123" customFormat="1" ht="14.25">
      <c r="A953" s="134">
        <v>37235</v>
      </c>
      <c r="B953" s="111">
        <v>70.0002</v>
      </c>
      <c r="C953" s="111">
        <f t="shared" si="15"/>
        <v>0.07000020000000001</v>
      </c>
      <c r="D953" s="111">
        <v>42.1838</v>
      </c>
      <c r="E953" s="111">
        <v>47.339</v>
      </c>
      <c r="F953" s="131"/>
      <c r="G953" s="109"/>
      <c r="H953" s="111"/>
      <c r="I953" s="109"/>
      <c r="J953" s="109"/>
      <c r="K953" s="110"/>
      <c r="L953" s="109"/>
      <c r="M953" s="111"/>
      <c r="N953" s="109"/>
      <c r="O953" s="109"/>
      <c r="P953" s="110"/>
      <c r="Q953" s="109"/>
      <c r="R953" s="111"/>
      <c r="S953" s="109"/>
      <c r="T953" s="109"/>
      <c r="U953" s="110"/>
      <c r="V953" s="109"/>
      <c r="W953" s="111"/>
      <c r="X953" s="109"/>
      <c r="Y953" s="109"/>
      <c r="Z953" s="110"/>
      <c r="AA953" s="109"/>
      <c r="AB953" s="111"/>
      <c r="AC953" s="109"/>
      <c r="AD953" s="109"/>
      <c r="AE953" s="110"/>
      <c r="AF953" s="109"/>
      <c r="AG953" s="111"/>
      <c r="AH953" s="109"/>
      <c r="AI953" s="109"/>
      <c r="AJ953" s="110"/>
      <c r="AK953" s="109"/>
      <c r="AL953" s="111"/>
      <c r="AM953" s="109"/>
      <c r="AN953" s="109"/>
      <c r="AO953" s="110"/>
      <c r="AP953" s="109"/>
      <c r="AQ953" s="111"/>
      <c r="AR953" s="109"/>
      <c r="AS953" s="109"/>
      <c r="AT953" s="110"/>
      <c r="AU953" s="109"/>
      <c r="AV953" s="111"/>
      <c r="AW953" s="109"/>
      <c r="AX953" s="109"/>
      <c r="AY953" s="110"/>
      <c r="AZ953" s="109"/>
      <c r="BA953" s="111"/>
      <c r="BB953" s="109"/>
      <c r="BC953" s="109"/>
      <c r="BD953" s="110"/>
      <c r="BE953" s="109"/>
      <c r="BF953" s="111"/>
      <c r="BG953" s="109"/>
      <c r="BH953" s="109"/>
      <c r="BI953" s="110"/>
      <c r="BJ953" s="109"/>
      <c r="BK953" s="111"/>
      <c r="BL953" s="109"/>
      <c r="BM953" s="109"/>
      <c r="BN953" s="110"/>
      <c r="BO953" s="109"/>
      <c r="BP953" s="111"/>
      <c r="BQ953" s="109"/>
      <c r="BR953" s="109"/>
      <c r="BS953" s="110"/>
      <c r="BT953" s="109"/>
      <c r="BU953" s="111"/>
      <c r="BV953" s="109"/>
      <c r="BW953" s="109"/>
      <c r="BX953" s="110"/>
      <c r="BY953" s="109"/>
      <c r="BZ953" s="111"/>
      <c r="CA953" s="109"/>
      <c r="CB953" s="109"/>
      <c r="CC953" s="110"/>
      <c r="CD953" s="109"/>
      <c r="CE953" s="111"/>
      <c r="CF953" s="109"/>
      <c r="CG953" s="109"/>
      <c r="CH953" s="110"/>
      <c r="CI953" s="109"/>
      <c r="CJ953" s="111"/>
      <c r="CK953" s="109"/>
      <c r="CL953" s="109"/>
      <c r="CM953" s="110"/>
      <c r="CN953" s="109"/>
      <c r="CO953" s="111"/>
      <c r="CP953" s="109"/>
      <c r="CQ953" s="109"/>
      <c r="CR953" s="110"/>
      <c r="CS953" s="109"/>
      <c r="CT953" s="111"/>
      <c r="CU953" s="109"/>
      <c r="CV953" s="109"/>
      <c r="CW953" s="110"/>
      <c r="CX953" s="109"/>
      <c r="CY953" s="111"/>
      <c r="CZ953" s="109"/>
      <c r="DA953" s="109"/>
      <c r="DB953" s="110"/>
      <c r="DC953" s="109"/>
      <c r="DD953" s="111"/>
      <c r="DE953" s="109"/>
      <c r="DF953" s="109"/>
      <c r="DG953" s="110"/>
      <c r="DH953" s="109"/>
      <c r="DI953" s="111"/>
      <c r="DJ953" s="109"/>
      <c r="DK953" s="109"/>
      <c r="DL953" s="110"/>
      <c r="DM953" s="109"/>
      <c r="DN953" s="111"/>
      <c r="DO953" s="109"/>
      <c r="DP953" s="109"/>
      <c r="DQ953" s="110"/>
      <c r="DR953" s="109"/>
      <c r="DS953" s="111"/>
      <c r="DT953" s="109"/>
      <c r="DU953" s="109"/>
      <c r="DV953" s="110"/>
      <c r="DW953" s="109"/>
      <c r="DX953" s="111"/>
      <c r="DY953" s="109"/>
      <c r="DZ953" s="109"/>
      <c r="EA953" s="110"/>
      <c r="EB953" s="109"/>
      <c r="EC953" s="111"/>
      <c r="ED953" s="109"/>
      <c r="EE953" s="109"/>
      <c r="EF953" s="110"/>
      <c r="EG953" s="109"/>
      <c r="EH953" s="111"/>
      <c r="EI953" s="109"/>
      <c r="EJ953" s="109"/>
      <c r="EK953" s="110"/>
      <c r="EL953" s="109"/>
      <c r="EM953" s="111"/>
      <c r="EN953" s="109"/>
      <c r="EO953" s="109"/>
      <c r="EP953" s="110"/>
      <c r="EQ953" s="109"/>
      <c r="ER953" s="111"/>
      <c r="ES953" s="109"/>
      <c r="ET953" s="109"/>
      <c r="EU953" s="110"/>
      <c r="EV953" s="109"/>
      <c r="EW953" s="111"/>
      <c r="EX953" s="109"/>
      <c r="EY953" s="109"/>
      <c r="EZ953" s="110"/>
      <c r="FA953" s="109"/>
      <c r="FB953" s="111"/>
      <c r="FC953" s="109"/>
      <c r="FD953" s="109"/>
      <c r="FE953" s="110"/>
      <c r="FF953" s="109"/>
      <c r="FG953" s="111"/>
      <c r="FH953" s="109"/>
      <c r="FI953" s="109"/>
      <c r="FJ953" s="110"/>
      <c r="FK953" s="109"/>
      <c r="FL953" s="111"/>
      <c r="FM953" s="109"/>
      <c r="FN953" s="109"/>
      <c r="FO953" s="110"/>
      <c r="FP953" s="109"/>
      <c r="FQ953" s="111"/>
      <c r="FR953" s="109"/>
      <c r="FS953" s="109"/>
      <c r="FT953" s="110"/>
      <c r="FU953" s="109"/>
      <c r="FV953" s="111"/>
      <c r="FW953" s="109"/>
      <c r="FX953" s="109"/>
      <c r="FY953" s="110"/>
      <c r="FZ953" s="109"/>
      <c r="GA953" s="111"/>
      <c r="GB953" s="109"/>
      <c r="GC953" s="109"/>
      <c r="GD953" s="110"/>
      <c r="GE953" s="109"/>
      <c r="GF953" s="111"/>
      <c r="GG953" s="109"/>
      <c r="GH953" s="109"/>
      <c r="GI953" s="110"/>
      <c r="GJ953" s="109"/>
      <c r="GK953" s="111"/>
      <c r="GL953" s="109"/>
      <c r="GM953" s="109"/>
      <c r="GN953" s="110"/>
      <c r="GO953" s="109"/>
      <c r="GP953" s="111"/>
      <c r="GQ953" s="109"/>
      <c r="GR953" s="109"/>
      <c r="GS953" s="110"/>
      <c r="GT953" s="109"/>
      <c r="GU953" s="111"/>
      <c r="GV953" s="109"/>
      <c r="GW953" s="109"/>
      <c r="GX953" s="110"/>
      <c r="GY953" s="109"/>
      <c r="GZ953" s="111"/>
      <c r="HA953" s="109"/>
      <c r="HB953" s="109"/>
      <c r="HC953" s="110"/>
      <c r="HD953" s="109"/>
      <c r="HE953" s="111"/>
      <c r="HF953" s="109"/>
      <c r="HG953" s="109"/>
      <c r="HH953" s="110"/>
      <c r="HI953" s="109"/>
      <c r="HJ953" s="111"/>
      <c r="HK953" s="109"/>
      <c r="HL953" s="109"/>
      <c r="HM953" s="110"/>
      <c r="HN953" s="109"/>
      <c r="HO953" s="111"/>
      <c r="HP953" s="109"/>
      <c r="HQ953" s="109"/>
      <c r="HR953" s="110"/>
      <c r="HS953" s="109"/>
      <c r="HT953" s="111"/>
      <c r="HU953" s="109"/>
      <c r="HV953" s="109"/>
      <c r="HW953" s="110"/>
      <c r="HX953" s="109"/>
      <c r="HY953" s="111"/>
      <c r="HZ953" s="109"/>
      <c r="IA953" s="109"/>
      <c r="IB953" s="110"/>
      <c r="IC953" s="109"/>
      <c r="ID953" s="111"/>
      <c r="IE953" s="109"/>
      <c r="IF953" s="109"/>
      <c r="IG953" s="110"/>
      <c r="IH953" s="109"/>
      <c r="II953" s="111"/>
      <c r="IJ953" s="109"/>
      <c r="IK953" s="109"/>
      <c r="IL953" s="110"/>
      <c r="IM953" s="109"/>
      <c r="IN953" s="111"/>
      <c r="IO953" s="109"/>
      <c r="IP953" s="109"/>
      <c r="IQ953" s="110"/>
      <c r="IR953" s="109"/>
      <c r="IS953" s="111"/>
      <c r="IT953" s="109"/>
      <c r="IU953" s="109"/>
      <c r="IV953" s="110"/>
    </row>
    <row r="954" spans="1:256" s="123" customFormat="1" ht="14.25">
      <c r="A954" s="134">
        <v>37236</v>
      </c>
      <c r="B954" s="111">
        <v>94.1532</v>
      </c>
      <c r="C954" s="111">
        <f t="shared" si="15"/>
        <v>0.0941532</v>
      </c>
      <c r="D954" s="111">
        <v>56.2782</v>
      </c>
      <c r="E954" s="111">
        <v>63.5912</v>
      </c>
      <c r="F954" s="131"/>
      <c r="G954" s="109"/>
      <c r="H954" s="111"/>
      <c r="I954" s="109"/>
      <c r="J954" s="109"/>
      <c r="K954" s="110"/>
      <c r="L954" s="109"/>
      <c r="M954" s="111"/>
      <c r="N954" s="109"/>
      <c r="O954" s="109"/>
      <c r="P954" s="110"/>
      <c r="Q954" s="109"/>
      <c r="R954" s="111"/>
      <c r="S954" s="109"/>
      <c r="T954" s="109"/>
      <c r="U954" s="110"/>
      <c r="V954" s="109"/>
      <c r="W954" s="111"/>
      <c r="X954" s="109"/>
      <c r="Y954" s="109"/>
      <c r="Z954" s="110"/>
      <c r="AA954" s="109"/>
      <c r="AB954" s="111"/>
      <c r="AC954" s="109"/>
      <c r="AD954" s="109"/>
      <c r="AE954" s="110"/>
      <c r="AF954" s="109"/>
      <c r="AG954" s="111"/>
      <c r="AH954" s="109"/>
      <c r="AI954" s="109"/>
      <c r="AJ954" s="110"/>
      <c r="AK954" s="109"/>
      <c r="AL954" s="111"/>
      <c r="AM954" s="109"/>
      <c r="AN954" s="109"/>
      <c r="AO954" s="110"/>
      <c r="AP954" s="109"/>
      <c r="AQ954" s="111"/>
      <c r="AR954" s="109"/>
      <c r="AS954" s="109"/>
      <c r="AT954" s="110"/>
      <c r="AU954" s="109"/>
      <c r="AV954" s="111"/>
      <c r="AW954" s="109"/>
      <c r="AX954" s="109"/>
      <c r="AY954" s="110"/>
      <c r="AZ954" s="109"/>
      <c r="BA954" s="111"/>
      <c r="BB954" s="109"/>
      <c r="BC954" s="109"/>
      <c r="BD954" s="110"/>
      <c r="BE954" s="109"/>
      <c r="BF954" s="111"/>
      <c r="BG954" s="109"/>
      <c r="BH954" s="109"/>
      <c r="BI954" s="110"/>
      <c r="BJ954" s="109"/>
      <c r="BK954" s="111"/>
      <c r="BL954" s="109"/>
      <c r="BM954" s="109"/>
      <c r="BN954" s="110"/>
      <c r="BO954" s="109"/>
      <c r="BP954" s="111"/>
      <c r="BQ954" s="109"/>
      <c r="BR954" s="109"/>
      <c r="BS954" s="110"/>
      <c r="BT954" s="109"/>
      <c r="BU954" s="111"/>
      <c r="BV954" s="109"/>
      <c r="BW954" s="109"/>
      <c r="BX954" s="110"/>
      <c r="BY954" s="109"/>
      <c r="BZ954" s="111"/>
      <c r="CA954" s="109"/>
      <c r="CB954" s="109"/>
      <c r="CC954" s="110"/>
      <c r="CD954" s="109"/>
      <c r="CE954" s="111"/>
      <c r="CF954" s="109"/>
      <c r="CG954" s="109"/>
      <c r="CH954" s="110"/>
      <c r="CI954" s="109"/>
      <c r="CJ954" s="111"/>
      <c r="CK954" s="109"/>
      <c r="CL954" s="109"/>
      <c r="CM954" s="110"/>
      <c r="CN954" s="109"/>
      <c r="CO954" s="111"/>
      <c r="CP954" s="109"/>
      <c r="CQ954" s="109"/>
      <c r="CR954" s="110"/>
      <c r="CS954" s="109"/>
      <c r="CT954" s="111"/>
      <c r="CU954" s="109"/>
      <c r="CV954" s="109"/>
      <c r="CW954" s="110"/>
      <c r="CX954" s="109"/>
      <c r="CY954" s="111"/>
      <c r="CZ954" s="109"/>
      <c r="DA954" s="109"/>
      <c r="DB954" s="110"/>
      <c r="DC954" s="109"/>
      <c r="DD954" s="111"/>
      <c r="DE954" s="109"/>
      <c r="DF954" s="109"/>
      <c r="DG954" s="110"/>
      <c r="DH954" s="109"/>
      <c r="DI954" s="111"/>
      <c r="DJ954" s="109"/>
      <c r="DK954" s="109"/>
      <c r="DL954" s="110"/>
      <c r="DM954" s="109"/>
      <c r="DN954" s="111"/>
      <c r="DO954" s="109"/>
      <c r="DP954" s="109"/>
      <c r="DQ954" s="110"/>
      <c r="DR954" s="109"/>
      <c r="DS954" s="111"/>
      <c r="DT954" s="109"/>
      <c r="DU954" s="109"/>
      <c r="DV954" s="110"/>
      <c r="DW954" s="109"/>
      <c r="DX954" s="111"/>
      <c r="DY954" s="109"/>
      <c r="DZ954" s="109"/>
      <c r="EA954" s="110"/>
      <c r="EB954" s="109"/>
      <c r="EC954" s="111"/>
      <c r="ED954" s="109"/>
      <c r="EE954" s="109"/>
      <c r="EF954" s="110"/>
      <c r="EG954" s="109"/>
      <c r="EH954" s="111"/>
      <c r="EI954" s="109"/>
      <c r="EJ954" s="109"/>
      <c r="EK954" s="110"/>
      <c r="EL954" s="109"/>
      <c r="EM954" s="111"/>
      <c r="EN954" s="109"/>
      <c r="EO954" s="109"/>
      <c r="EP954" s="110"/>
      <c r="EQ954" s="109"/>
      <c r="ER954" s="111"/>
      <c r="ES954" s="109"/>
      <c r="ET954" s="109"/>
      <c r="EU954" s="110"/>
      <c r="EV954" s="109"/>
      <c r="EW954" s="111"/>
      <c r="EX954" s="109"/>
      <c r="EY954" s="109"/>
      <c r="EZ954" s="110"/>
      <c r="FA954" s="109"/>
      <c r="FB954" s="111"/>
      <c r="FC954" s="109"/>
      <c r="FD954" s="109"/>
      <c r="FE954" s="110"/>
      <c r="FF954" s="109"/>
      <c r="FG954" s="111"/>
      <c r="FH954" s="109"/>
      <c r="FI954" s="109"/>
      <c r="FJ954" s="110"/>
      <c r="FK954" s="109"/>
      <c r="FL954" s="111"/>
      <c r="FM954" s="109"/>
      <c r="FN954" s="109"/>
      <c r="FO954" s="110"/>
      <c r="FP954" s="109"/>
      <c r="FQ954" s="111"/>
      <c r="FR954" s="109"/>
      <c r="FS954" s="109"/>
      <c r="FT954" s="110"/>
      <c r="FU954" s="109"/>
      <c r="FV954" s="111"/>
      <c r="FW954" s="109"/>
      <c r="FX954" s="109"/>
      <c r="FY954" s="110"/>
      <c r="FZ954" s="109"/>
      <c r="GA954" s="111"/>
      <c r="GB954" s="109"/>
      <c r="GC954" s="109"/>
      <c r="GD954" s="110"/>
      <c r="GE954" s="109"/>
      <c r="GF954" s="111"/>
      <c r="GG954" s="109"/>
      <c r="GH954" s="109"/>
      <c r="GI954" s="110"/>
      <c r="GJ954" s="109"/>
      <c r="GK954" s="111"/>
      <c r="GL954" s="109"/>
      <c r="GM954" s="109"/>
      <c r="GN954" s="110"/>
      <c r="GO954" s="109"/>
      <c r="GP954" s="111"/>
      <c r="GQ954" s="109"/>
      <c r="GR954" s="109"/>
      <c r="GS954" s="110"/>
      <c r="GT954" s="109"/>
      <c r="GU954" s="111"/>
      <c r="GV954" s="109"/>
      <c r="GW954" s="109"/>
      <c r="GX954" s="110"/>
      <c r="GY954" s="109"/>
      <c r="GZ954" s="111"/>
      <c r="HA954" s="109"/>
      <c r="HB954" s="109"/>
      <c r="HC954" s="110"/>
      <c r="HD954" s="109"/>
      <c r="HE954" s="111"/>
      <c r="HF954" s="109"/>
      <c r="HG954" s="109"/>
      <c r="HH954" s="110"/>
      <c r="HI954" s="109"/>
      <c r="HJ954" s="111"/>
      <c r="HK954" s="109"/>
      <c r="HL954" s="109"/>
      <c r="HM954" s="110"/>
      <c r="HN954" s="109"/>
      <c r="HO954" s="111"/>
      <c r="HP954" s="109"/>
      <c r="HQ954" s="109"/>
      <c r="HR954" s="110"/>
      <c r="HS954" s="109"/>
      <c r="HT954" s="111"/>
      <c r="HU954" s="109"/>
      <c r="HV954" s="109"/>
      <c r="HW954" s="110"/>
      <c r="HX954" s="109"/>
      <c r="HY954" s="111"/>
      <c r="HZ954" s="109"/>
      <c r="IA954" s="109"/>
      <c r="IB954" s="110"/>
      <c r="IC954" s="109"/>
      <c r="ID954" s="111"/>
      <c r="IE954" s="109"/>
      <c r="IF954" s="109"/>
      <c r="IG954" s="110"/>
      <c r="IH954" s="109"/>
      <c r="II954" s="111"/>
      <c r="IJ954" s="109"/>
      <c r="IK954" s="109"/>
      <c r="IL954" s="110"/>
      <c r="IM954" s="109"/>
      <c r="IN954" s="111"/>
      <c r="IO954" s="109"/>
      <c r="IP954" s="109"/>
      <c r="IQ954" s="110"/>
      <c r="IR954" s="109"/>
      <c r="IS954" s="111"/>
      <c r="IT954" s="109"/>
      <c r="IU954" s="109"/>
      <c r="IV954" s="110"/>
    </row>
    <row r="955" spans="1:256" s="123" customFormat="1" ht="14.25">
      <c r="A955" s="134">
        <v>37237</v>
      </c>
      <c r="B955" s="111">
        <v>101.9969</v>
      </c>
      <c r="C955" s="111">
        <f t="shared" si="15"/>
        <v>0.1019969</v>
      </c>
      <c r="D955" s="111">
        <v>61.4243</v>
      </c>
      <c r="E955" s="111">
        <v>68.9541</v>
      </c>
      <c r="F955" s="131"/>
      <c r="G955" s="109"/>
      <c r="H955" s="111"/>
      <c r="I955" s="109"/>
      <c r="J955" s="109"/>
      <c r="K955" s="110"/>
      <c r="L955" s="109"/>
      <c r="M955" s="111"/>
      <c r="N955" s="109"/>
      <c r="O955" s="109"/>
      <c r="P955" s="110"/>
      <c r="Q955" s="109"/>
      <c r="R955" s="111"/>
      <c r="S955" s="109"/>
      <c r="T955" s="109"/>
      <c r="U955" s="110"/>
      <c r="V955" s="109"/>
      <c r="W955" s="111"/>
      <c r="X955" s="109"/>
      <c r="Y955" s="109"/>
      <c r="Z955" s="110"/>
      <c r="AA955" s="109"/>
      <c r="AB955" s="111"/>
      <c r="AC955" s="109"/>
      <c r="AD955" s="109"/>
      <c r="AE955" s="110"/>
      <c r="AF955" s="109"/>
      <c r="AG955" s="111"/>
      <c r="AH955" s="109"/>
      <c r="AI955" s="109"/>
      <c r="AJ955" s="110"/>
      <c r="AK955" s="109"/>
      <c r="AL955" s="111"/>
      <c r="AM955" s="109"/>
      <c r="AN955" s="109"/>
      <c r="AO955" s="110"/>
      <c r="AP955" s="109"/>
      <c r="AQ955" s="111"/>
      <c r="AR955" s="109"/>
      <c r="AS955" s="109"/>
      <c r="AT955" s="110"/>
      <c r="AU955" s="109"/>
      <c r="AV955" s="111"/>
      <c r="AW955" s="109"/>
      <c r="AX955" s="109"/>
      <c r="AY955" s="110"/>
      <c r="AZ955" s="109"/>
      <c r="BA955" s="111"/>
      <c r="BB955" s="109"/>
      <c r="BC955" s="109"/>
      <c r="BD955" s="110"/>
      <c r="BE955" s="109"/>
      <c r="BF955" s="111"/>
      <c r="BG955" s="109"/>
      <c r="BH955" s="109"/>
      <c r="BI955" s="110"/>
      <c r="BJ955" s="109"/>
      <c r="BK955" s="111"/>
      <c r="BL955" s="109"/>
      <c r="BM955" s="109"/>
      <c r="BN955" s="110"/>
      <c r="BO955" s="109"/>
      <c r="BP955" s="111"/>
      <c r="BQ955" s="109"/>
      <c r="BR955" s="109"/>
      <c r="BS955" s="110"/>
      <c r="BT955" s="109"/>
      <c r="BU955" s="111"/>
      <c r="BV955" s="109"/>
      <c r="BW955" s="109"/>
      <c r="BX955" s="110"/>
      <c r="BY955" s="109"/>
      <c r="BZ955" s="111"/>
      <c r="CA955" s="109"/>
      <c r="CB955" s="109"/>
      <c r="CC955" s="110"/>
      <c r="CD955" s="109"/>
      <c r="CE955" s="111"/>
      <c r="CF955" s="109"/>
      <c r="CG955" s="109"/>
      <c r="CH955" s="110"/>
      <c r="CI955" s="109"/>
      <c r="CJ955" s="111"/>
      <c r="CK955" s="109"/>
      <c r="CL955" s="109"/>
      <c r="CM955" s="110"/>
      <c r="CN955" s="109"/>
      <c r="CO955" s="111"/>
      <c r="CP955" s="109"/>
      <c r="CQ955" s="109"/>
      <c r="CR955" s="110"/>
      <c r="CS955" s="109"/>
      <c r="CT955" s="111"/>
      <c r="CU955" s="109"/>
      <c r="CV955" s="109"/>
      <c r="CW955" s="110"/>
      <c r="CX955" s="109"/>
      <c r="CY955" s="111"/>
      <c r="CZ955" s="109"/>
      <c r="DA955" s="109"/>
      <c r="DB955" s="110"/>
      <c r="DC955" s="109"/>
      <c r="DD955" s="111"/>
      <c r="DE955" s="109"/>
      <c r="DF955" s="109"/>
      <c r="DG955" s="110"/>
      <c r="DH955" s="109"/>
      <c r="DI955" s="111"/>
      <c r="DJ955" s="109"/>
      <c r="DK955" s="109"/>
      <c r="DL955" s="110"/>
      <c r="DM955" s="109"/>
      <c r="DN955" s="111"/>
      <c r="DO955" s="109"/>
      <c r="DP955" s="109"/>
      <c r="DQ955" s="110"/>
      <c r="DR955" s="109"/>
      <c r="DS955" s="111"/>
      <c r="DT955" s="109"/>
      <c r="DU955" s="109"/>
      <c r="DV955" s="110"/>
      <c r="DW955" s="109"/>
      <c r="DX955" s="111"/>
      <c r="DY955" s="109"/>
      <c r="DZ955" s="109"/>
      <c r="EA955" s="110"/>
      <c r="EB955" s="109"/>
      <c r="EC955" s="111"/>
      <c r="ED955" s="109"/>
      <c r="EE955" s="109"/>
      <c r="EF955" s="110"/>
      <c r="EG955" s="109"/>
      <c r="EH955" s="111"/>
      <c r="EI955" s="109"/>
      <c r="EJ955" s="109"/>
      <c r="EK955" s="110"/>
      <c r="EL955" s="109"/>
      <c r="EM955" s="111"/>
      <c r="EN955" s="109"/>
      <c r="EO955" s="109"/>
      <c r="EP955" s="110"/>
      <c r="EQ955" s="109"/>
      <c r="ER955" s="111"/>
      <c r="ES955" s="109"/>
      <c r="ET955" s="109"/>
      <c r="EU955" s="110"/>
      <c r="EV955" s="109"/>
      <c r="EW955" s="111"/>
      <c r="EX955" s="109"/>
      <c r="EY955" s="109"/>
      <c r="EZ955" s="110"/>
      <c r="FA955" s="109"/>
      <c r="FB955" s="111"/>
      <c r="FC955" s="109"/>
      <c r="FD955" s="109"/>
      <c r="FE955" s="110"/>
      <c r="FF955" s="109"/>
      <c r="FG955" s="111"/>
      <c r="FH955" s="109"/>
      <c r="FI955" s="109"/>
      <c r="FJ955" s="110"/>
      <c r="FK955" s="109"/>
      <c r="FL955" s="111"/>
      <c r="FM955" s="109"/>
      <c r="FN955" s="109"/>
      <c r="FO955" s="110"/>
      <c r="FP955" s="109"/>
      <c r="FQ955" s="111"/>
      <c r="FR955" s="109"/>
      <c r="FS955" s="109"/>
      <c r="FT955" s="110"/>
      <c r="FU955" s="109"/>
      <c r="FV955" s="111"/>
      <c r="FW955" s="109"/>
      <c r="FX955" s="109"/>
      <c r="FY955" s="110"/>
      <c r="FZ955" s="109"/>
      <c r="GA955" s="111"/>
      <c r="GB955" s="109"/>
      <c r="GC955" s="109"/>
      <c r="GD955" s="110"/>
      <c r="GE955" s="109"/>
      <c r="GF955" s="111"/>
      <c r="GG955" s="109"/>
      <c r="GH955" s="109"/>
      <c r="GI955" s="110"/>
      <c r="GJ955" s="109"/>
      <c r="GK955" s="111"/>
      <c r="GL955" s="109"/>
      <c r="GM955" s="109"/>
      <c r="GN955" s="110"/>
      <c r="GO955" s="109"/>
      <c r="GP955" s="111"/>
      <c r="GQ955" s="109"/>
      <c r="GR955" s="109"/>
      <c r="GS955" s="110"/>
      <c r="GT955" s="109"/>
      <c r="GU955" s="111"/>
      <c r="GV955" s="109"/>
      <c r="GW955" s="109"/>
      <c r="GX955" s="110"/>
      <c r="GY955" s="109"/>
      <c r="GZ955" s="111"/>
      <c r="HA955" s="109"/>
      <c r="HB955" s="109"/>
      <c r="HC955" s="110"/>
      <c r="HD955" s="109"/>
      <c r="HE955" s="111"/>
      <c r="HF955" s="109"/>
      <c r="HG955" s="109"/>
      <c r="HH955" s="110"/>
      <c r="HI955" s="109"/>
      <c r="HJ955" s="111"/>
      <c r="HK955" s="109"/>
      <c r="HL955" s="109"/>
      <c r="HM955" s="110"/>
      <c r="HN955" s="109"/>
      <c r="HO955" s="111"/>
      <c r="HP955" s="109"/>
      <c r="HQ955" s="109"/>
      <c r="HR955" s="110"/>
      <c r="HS955" s="109"/>
      <c r="HT955" s="111"/>
      <c r="HU955" s="109"/>
      <c r="HV955" s="109"/>
      <c r="HW955" s="110"/>
      <c r="HX955" s="109"/>
      <c r="HY955" s="111"/>
      <c r="HZ955" s="109"/>
      <c r="IA955" s="109"/>
      <c r="IB955" s="110"/>
      <c r="IC955" s="109"/>
      <c r="ID955" s="111"/>
      <c r="IE955" s="109"/>
      <c r="IF955" s="109"/>
      <c r="IG955" s="110"/>
      <c r="IH955" s="109"/>
      <c r="II955" s="111"/>
      <c r="IJ955" s="109"/>
      <c r="IK955" s="109"/>
      <c r="IL955" s="110"/>
      <c r="IM955" s="109"/>
      <c r="IN955" s="111"/>
      <c r="IO955" s="109"/>
      <c r="IP955" s="109"/>
      <c r="IQ955" s="110"/>
      <c r="IR955" s="109"/>
      <c r="IS955" s="111"/>
      <c r="IT955" s="109"/>
      <c r="IU955" s="109"/>
      <c r="IV955" s="110"/>
    </row>
    <row r="956" spans="1:256" s="123" customFormat="1" ht="14.25">
      <c r="A956" s="134">
        <v>37238</v>
      </c>
      <c r="B956" s="111">
        <v>121.8361</v>
      </c>
      <c r="C956" s="111">
        <f t="shared" si="15"/>
        <v>0.1218361</v>
      </c>
      <c r="D956" s="111">
        <v>73.8836</v>
      </c>
      <c r="E956" s="111">
        <v>82.6624</v>
      </c>
      <c r="F956" s="131"/>
      <c r="G956" s="109"/>
      <c r="H956" s="111"/>
      <c r="I956" s="109"/>
      <c r="J956" s="109"/>
      <c r="K956" s="110"/>
      <c r="L956" s="109"/>
      <c r="M956" s="111"/>
      <c r="N956" s="109"/>
      <c r="O956" s="109"/>
      <c r="P956" s="110"/>
      <c r="Q956" s="109"/>
      <c r="R956" s="111"/>
      <c r="S956" s="109"/>
      <c r="T956" s="109"/>
      <c r="U956" s="110"/>
      <c r="V956" s="109"/>
      <c r="W956" s="111"/>
      <c r="X956" s="109"/>
      <c r="Y956" s="109"/>
      <c r="Z956" s="110"/>
      <c r="AA956" s="109"/>
      <c r="AB956" s="111"/>
      <c r="AC956" s="109"/>
      <c r="AD956" s="109"/>
      <c r="AE956" s="110"/>
      <c r="AF956" s="109"/>
      <c r="AG956" s="111"/>
      <c r="AH956" s="109"/>
      <c r="AI956" s="109"/>
      <c r="AJ956" s="110"/>
      <c r="AK956" s="109"/>
      <c r="AL956" s="111"/>
      <c r="AM956" s="109"/>
      <c r="AN956" s="109"/>
      <c r="AO956" s="110"/>
      <c r="AP956" s="109"/>
      <c r="AQ956" s="111"/>
      <c r="AR956" s="109"/>
      <c r="AS956" s="109"/>
      <c r="AT956" s="110"/>
      <c r="AU956" s="109"/>
      <c r="AV956" s="111"/>
      <c r="AW956" s="109"/>
      <c r="AX956" s="109"/>
      <c r="AY956" s="110"/>
      <c r="AZ956" s="109"/>
      <c r="BA956" s="111"/>
      <c r="BB956" s="109"/>
      <c r="BC956" s="109"/>
      <c r="BD956" s="110"/>
      <c r="BE956" s="109"/>
      <c r="BF956" s="111"/>
      <c r="BG956" s="109"/>
      <c r="BH956" s="109"/>
      <c r="BI956" s="110"/>
      <c r="BJ956" s="109"/>
      <c r="BK956" s="111"/>
      <c r="BL956" s="109"/>
      <c r="BM956" s="109"/>
      <c r="BN956" s="110"/>
      <c r="BO956" s="109"/>
      <c r="BP956" s="111"/>
      <c r="BQ956" s="109"/>
      <c r="BR956" s="109"/>
      <c r="BS956" s="110"/>
      <c r="BT956" s="109"/>
      <c r="BU956" s="111"/>
      <c r="BV956" s="109"/>
      <c r="BW956" s="109"/>
      <c r="BX956" s="110"/>
      <c r="BY956" s="109"/>
      <c r="BZ956" s="111"/>
      <c r="CA956" s="109"/>
      <c r="CB956" s="109"/>
      <c r="CC956" s="110"/>
      <c r="CD956" s="109"/>
      <c r="CE956" s="111"/>
      <c r="CF956" s="109"/>
      <c r="CG956" s="109"/>
      <c r="CH956" s="110"/>
      <c r="CI956" s="109"/>
      <c r="CJ956" s="111"/>
      <c r="CK956" s="109"/>
      <c r="CL956" s="109"/>
      <c r="CM956" s="110"/>
      <c r="CN956" s="109"/>
      <c r="CO956" s="111"/>
      <c r="CP956" s="109"/>
      <c r="CQ956" s="109"/>
      <c r="CR956" s="110"/>
      <c r="CS956" s="109"/>
      <c r="CT956" s="111"/>
      <c r="CU956" s="109"/>
      <c r="CV956" s="109"/>
      <c r="CW956" s="110"/>
      <c r="CX956" s="109"/>
      <c r="CY956" s="111"/>
      <c r="CZ956" s="109"/>
      <c r="DA956" s="109"/>
      <c r="DB956" s="110"/>
      <c r="DC956" s="109"/>
      <c r="DD956" s="111"/>
      <c r="DE956" s="109"/>
      <c r="DF956" s="109"/>
      <c r="DG956" s="110"/>
      <c r="DH956" s="109"/>
      <c r="DI956" s="111"/>
      <c r="DJ956" s="109"/>
      <c r="DK956" s="109"/>
      <c r="DL956" s="110"/>
      <c r="DM956" s="109"/>
      <c r="DN956" s="111"/>
      <c r="DO956" s="109"/>
      <c r="DP956" s="109"/>
      <c r="DQ956" s="110"/>
      <c r="DR956" s="109"/>
      <c r="DS956" s="111"/>
      <c r="DT956" s="109"/>
      <c r="DU956" s="109"/>
      <c r="DV956" s="110"/>
      <c r="DW956" s="109"/>
      <c r="DX956" s="111"/>
      <c r="DY956" s="109"/>
      <c r="DZ956" s="109"/>
      <c r="EA956" s="110"/>
      <c r="EB956" s="109"/>
      <c r="EC956" s="111"/>
      <c r="ED956" s="109"/>
      <c r="EE956" s="109"/>
      <c r="EF956" s="110"/>
      <c r="EG956" s="109"/>
      <c r="EH956" s="111"/>
      <c r="EI956" s="109"/>
      <c r="EJ956" s="109"/>
      <c r="EK956" s="110"/>
      <c r="EL956" s="109"/>
      <c r="EM956" s="111"/>
      <c r="EN956" s="109"/>
      <c r="EO956" s="109"/>
      <c r="EP956" s="110"/>
      <c r="EQ956" s="109"/>
      <c r="ER956" s="111"/>
      <c r="ES956" s="109"/>
      <c r="ET956" s="109"/>
      <c r="EU956" s="110"/>
      <c r="EV956" s="109"/>
      <c r="EW956" s="111"/>
      <c r="EX956" s="109"/>
      <c r="EY956" s="109"/>
      <c r="EZ956" s="110"/>
      <c r="FA956" s="109"/>
      <c r="FB956" s="111"/>
      <c r="FC956" s="109"/>
      <c r="FD956" s="109"/>
      <c r="FE956" s="110"/>
      <c r="FF956" s="109"/>
      <c r="FG956" s="111"/>
      <c r="FH956" s="109"/>
      <c r="FI956" s="109"/>
      <c r="FJ956" s="110"/>
      <c r="FK956" s="109"/>
      <c r="FL956" s="111"/>
      <c r="FM956" s="109"/>
      <c r="FN956" s="109"/>
      <c r="FO956" s="110"/>
      <c r="FP956" s="109"/>
      <c r="FQ956" s="111"/>
      <c r="FR956" s="109"/>
      <c r="FS956" s="109"/>
      <c r="FT956" s="110"/>
      <c r="FU956" s="109"/>
      <c r="FV956" s="111"/>
      <c r="FW956" s="109"/>
      <c r="FX956" s="109"/>
      <c r="FY956" s="110"/>
      <c r="FZ956" s="109"/>
      <c r="GA956" s="111"/>
      <c r="GB956" s="109"/>
      <c r="GC956" s="109"/>
      <c r="GD956" s="110"/>
      <c r="GE956" s="109"/>
      <c r="GF956" s="111"/>
      <c r="GG956" s="109"/>
      <c r="GH956" s="109"/>
      <c r="GI956" s="110"/>
      <c r="GJ956" s="109"/>
      <c r="GK956" s="111"/>
      <c r="GL956" s="109"/>
      <c r="GM956" s="109"/>
      <c r="GN956" s="110"/>
      <c r="GO956" s="109"/>
      <c r="GP956" s="111"/>
      <c r="GQ956" s="109"/>
      <c r="GR956" s="109"/>
      <c r="GS956" s="110"/>
      <c r="GT956" s="109"/>
      <c r="GU956" s="111"/>
      <c r="GV956" s="109"/>
      <c r="GW956" s="109"/>
      <c r="GX956" s="110"/>
      <c r="GY956" s="109"/>
      <c r="GZ956" s="111"/>
      <c r="HA956" s="109"/>
      <c r="HB956" s="109"/>
      <c r="HC956" s="110"/>
      <c r="HD956" s="109"/>
      <c r="HE956" s="111"/>
      <c r="HF956" s="109"/>
      <c r="HG956" s="109"/>
      <c r="HH956" s="110"/>
      <c r="HI956" s="109"/>
      <c r="HJ956" s="111"/>
      <c r="HK956" s="109"/>
      <c r="HL956" s="109"/>
      <c r="HM956" s="110"/>
      <c r="HN956" s="109"/>
      <c r="HO956" s="111"/>
      <c r="HP956" s="109"/>
      <c r="HQ956" s="109"/>
      <c r="HR956" s="110"/>
      <c r="HS956" s="109"/>
      <c r="HT956" s="111"/>
      <c r="HU956" s="109"/>
      <c r="HV956" s="109"/>
      <c r="HW956" s="110"/>
      <c r="HX956" s="109"/>
      <c r="HY956" s="111"/>
      <c r="HZ956" s="109"/>
      <c r="IA956" s="109"/>
      <c r="IB956" s="110"/>
      <c r="IC956" s="109"/>
      <c r="ID956" s="111"/>
      <c r="IE956" s="109"/>
      <c r="IF956" s="109"/>
      <c r="IG956" s="110"/>
      <c r="IH956" s="109"/>
      <c r="II956" s="111"/>
      <c r="IJ956" s="109"/>
      <c r="IK956" s="109"/>
      <c r="IL956" s="110"/>
      <c r="IM956" s="109"/>
      <c r="IN956" s="111"/>
      <c r="IO956" s="109"/>
      <c r="IP956" s="109"/>
      <c r="IQ956" s="110"/>
      <c r="IR956" s="109"/>
      <c r="IS956" s="111"/>
      <c r="IT956" s="109"/>
      <c r="IU956" s="109"/>
      <c r="IV956" s="110"/>
    </row>
    <row r="957" spans="1:256" s="123" customFormat="1" ht="14.25">
      <c r="A957" s="134">
        <v>37239</v>
      </c>
      <c r="B957" s="111">
        <v>112.2199</v>
      </c>
      <c r="C957" s="111">
        <f t="shared" si="15"/>
        <v>0.1122199</v>
      </c>
      <c r="D957" s="111">
        <v>68.3757</v>
      </c>
      <c r="E957" s="111">
        <v>76.1846</v>
      </c>
      <c r="F957" s="131"/>
      <c r="G957" s="109"/>
      <c r="H957" s="111"/>
      <c r="I957" s="109"/>
      <c r="J957" s="109"/>
      <c r="K957" s="110"/>
      <c r="L957" s="109"/>
      <c r="M957" s="111"/>
      <c r="N957" s="109"/>
      <c r="O957" s="109"/>
      <c r="P957" s="110"/>
      <c r="Q957" s="109"/>
      <c r="R957" s="111"/>
      <c r="S957" s="109"/>
      <c r="T957" s="109"/>
      <c r="U957" s="110"/>
      <c r="V957" s="109"/>
      <c r="W957" s="111"/>
      <c r="X957" s="109"/>
      <c r="Y957" s="109"/>
      <c r="Z957" s="110"/>
      <c r="AA957" s="109"/>
      <c r="AB957" s="111"/>
      <c r="AC957" s="109"/>
      <c r="AD957" s="109"/>
      <c r="AE957" s="110"/>
      <c r="AF957" s="109"/>
      <c r="AG957" s="111"/>
      <c r="AH957" s="109"/>
      <c r="AI957" s="109"/>
      <c r="AJ957" s="110"/>
      <c r="AK957" s="109"/>
      <c r="AL957" s="111"/>
      <c r="AM957" s="109"/>
      <c r="AN957" s="109"/>
      <c r="AO957" s="110"/>
      <c r="AP957" s="109"/>
      <c r="AQ957" s="111"/>
      <c r="AR957" s="109"/>
      <c r="AS957" s="109"/>
      <c r="AT957" s="110"/>
      <c r="AU957" s="109"/>
      <c r="AV957" s="111"/>
      <c r="AW957" s="109"/>
      <c r="AX957" s="109"/>
      <c r="AY957" s="110"/>
      <c r="AZ957" s="109"/>
      <c r="BA957" s="111"/>
      <c r="BB957" s="109"/>
      <c r="BC957" s="109"/>
      <c r="BD957" s="110"/>
      <c r="BE957" s="109"/>
      <c r="BF957" s="111"/>
      <c r="BG957" s="109"/>
      <c r="BH957" s="109"/>
      <c r="BI957" s="110"/>
      <c r="BJ957" s="109"/>
      <c r="BK957" s="111"/>
      <c r="BL957" s="109"/>
      <c r="BM957" s="109"/>
      <c r="BN957" s="110"/>
      <c r="BO957" s="109"/>
      <c r="BP957" s="111"/>
      <c r="BQ957" s="109"/>
      <c r="BR957" s="109"/>
      <c r="BS957" s="110"/>
      <c r="BT957" s="109"/>
      <c r="BU957" s="111"/>
      <c r="BV957" s="109"/>
      <c r="BW957" s="109"/>
      <c r="BX957" s="110"/>
      <c r="BY957" s="109"/>
      <c r="BZ957" s="111"/>
      <c r="CA957" s="109"/>
      <c r="CB957" s="109"/>
      <c r="CC957" s="110"/>
      <c r="CD957" s="109"/>
      <c r="CE957" s="111"/>
      <c r="CF957" s="109"/>
      <c r="CG957" s="109"/>
      <c r="CH957" s="110"/>
      <c r="CI957" s="109"/>
      <c r="CJ957" s="111"/>
      <c r="CK957" s="109"/>
      <c r="CL957" s="109"/>
      <c r="CM957" s="110"/>
      <c r="CN957" s="109"/>
      <c r="CO957" s="111"/>
      <c r="CP957" s="109"/>
      <c r="CQ957" s="109"/>
      <c r="CR957" s="110"/>
      <c r="CS957" s="109"/>
      <c r="CT957" s="111"/>
      <c r="CU957" s="109"/>
      <c r="CV957" s="109"/>
      <c r="CW957" s="110"/>
      <c r="CX957" s="109"/>
      <c r="CY957" s="111"/>
      <c r="CZ957" s="109"/>
      <c r="DA957" s="109"/>
      <c r="DB957" s="110"/>
      <c r="DC957" s="109"/>
      <c r="DD957" s="111"/>
      <c r="DE957" s="109"/>
      <c r="DF957" s="109"/>
      <c r="DG957" s="110"/>
      <c r="DH957" s="109"/>
      <c r="DI957" s="111"/>
      <c r="DJ957" s="109"/>
      <c r="DK957" s="109"/>
      <c r="DL957" s="110"/>
      <c r="DM957" s="109"/>
      <c r="DN957" s="111"/>
      <c r="DO957" s="109"/>
      <c r="DP957" s="109"/>
      <c r="DQ957" s="110"/>
      <c r="DR957" s="109"/>
      <c r="DS957" s="111"/>
      <c r="DT957" s="109"/>
      <c r="DU957" s="109"/>
      <c r="DV957" s="110"/>
      <c r="DW957" s="109"/>
      <c r="DX957" s="111"/>
      <c r="DY957" s="109"/>
      <c r="DZ957" s="109"/>
      <c r="EA957" s="110"/>
      <c r="EB957" s="109"/>
      <c r="EC957" s="111"/>
      <c r="ED957" s="109"/>
      <c r="EE957" s="109"/>
      <c r="EF957" s="110"/>
      <c r="EG957" s="109"/>
      <c r="EH957" s="111"/>
      <c r="EI957" s="109"/>
      <c r="EJ957" s="109"/>
      <c r="EK957" s="110"/>
      <c r="EL957" s="109"/>
      <c r="EM957" s="111"/>
      <c r="EN957" s="109"/>
      <c r="EO957" s="109"/>
      <c r="EP957" s="110"/>
      <c r="EQ957" s="109"/>
      <c r="ER957" s="111"/>
      <c r="ES957" s="109"/>
      <c r="ET957" s="109"/>
      <c r="EU957" s="110"/>
      <c r="EV957" s="109"/>
      <c r="EW957" s="111"/>
      <c r="EX957" s="109"/>
      <c r="EY957" s="109"/>
      <c r="EZ957" s="110"/>
      <c r="FA957" s="109"/>
      <c r="FB957" s="111"/>
      <c r="FC957" s="109"/>
      <c r="FD957" s="109"/>
      <c r="FE957" s="110"/>
      <c r="FF957" s="109"/>
      <c r="FG957" s="111"/>
      <c r="FH957" s="109"/>
      <c r="FI957" s="109"/>
      <c r="FJ957" s="110"/>
      <c r="FK957" s="109"/>
      <c r="FL957" s="111"/>
      <c r="FM957" s="109"/>
      <c r="FN957" s="109"/>
      <c r="FO957" s="110"/>
      <c r="FP957" s="109"/>
      <c r="FQ957" s="111"/>
      <c r="FR957" s="109"/>
      <c r="FS957" s="109"/>
      <c r="FT957" s="110"/>
      <c r="FU957" s="109"/>
      <c r="FV957" s="111"/>
      <c r="FW957" s="109"/>
      <c r="FX957" s="109"/>
      <c r="FY957" s="110"/>
      <c r="FZ957" s="109"/>
      <c r="GA957" s="111"/>
      <c r="GB957" s="109"/>
      <c r="GC957" s="109"/>
      <c r="GD957" s="110"/>
      <c r="GE957" s="109"/>
      <c r="GF957" s="111"/>
      <c r="GG957" s="109"/>
      <c r="GH957" s="109"/>
      <c r="GI957" s="110"/>
      <c r="GJ957" s="109"/>
      <c r="GK957" s="111"/>
      <c r="GL957" s="109"/>
      <c r="GM957" s="109"/>
      <c r="GN957" s="110"/>
      <c r="GO957" s="109"/>
      <c r="GP957" s="111"/>
      <c r="GQ957" s="109"/>
      <c r="GR957" s="109"/>
      <c r="GS957" s="110"/>
      <c r="GT957" s="109"/>
      <c r="GU957" s="111"/>
      <c r="GV957" s="109"/>
      <c r="GW957" s="109"/>
      <c r="GX957" s="110"/>
      <c r="GY957" s="109"/>
      <c r="GZ957" s="111"/>
      <c r="HA957" s="109"/>
      <c r="HB957" s="109"/>
      <c r="HC957" s="110"/>
      <c r="HD957" s="109"/>
      <c r="HE957" s="111"/>
      <c r="HF957" s="109"/>
      <c r="HG957" s="109"/>
      <c r="HH957" s="110"/>
      <c r="HI957" s="109"/>
      <c r="HJ957" s="111"/>
      <c r="HK957" s="109"/>
      <c r="HL957" s="109"/>
      <c r="HM957" s="110"/>
      <c r="HN957" s="109"/>
      <c r="HO957" s="111"/>
      <c r="HP957" s="109"/>
      <c r="HQ957" s="109"/>
      <c r="HR957" s="110"/>
      <c r="HS957" s="109"/>
      <c r="HT957" s="111"/>
      <c r="HU957" s="109"/>
      <c r="HV957" s="109"/>
      <c r="HW957" s="110"/>
      <c r="HX957" s="109"/>
      <c r="HY957" s="111"/>
      <c r="HZ957" s="109"/>
      <c r="IA957" s="109"/>
      <c r="IB957" s="110"/>
      <c r="IC957" s="109"/>
      <c r="ID957" s="111"/>
      <c r="IE957" s="109"/>
      <c r="IF957" s="109"/>
      <c r="IG957" s="110"/>
      <c r="IH957" s="109"/>
      <c r="II957" s="111"/>
      <c r="IJ957" s="109"/>
      <c r="IK957" s="109"/>
      <c r="IL957" s="110"/>
      <c r="IM957" s="109"/>
      <c r="IN957" s="111"/>
      <c r="IO957" s="109"/>
      <c r="IP957" s="109"/>
      <c r="IQ957" s="110"/>
      <c r="IR957" s="109"/>
      <c r="IS957" s="111"/>
      <c r="IT957" s="109"/>
      <c r="IU957" s="109"/>
      <c r="IV957" s="110"/>
    </row>
    <row r="958" spans="1:256" s="123" customFormat="1" ht="14.25">
      <c r="A958" s="134">
        <v>37242</v>
      </c>
      <c r="B958" s="111">
        <v>169.7373</v>
      </c>
      <c r="C958" s="111">
        <f t="shared" si="15"/>
        <v>0.1697373</v>
      </c>
      <c r="D958" s="111">
        <v>103.8441</v>
      </c>
      <c r="E958" s="111">
        <v>115.1776</v>
      </c>
      <c r="F958" s="131"/>
      <c r="G958" s="109"/>
      <c r="H958" s="111"/>
      <c r="I958" s="109"/>
      <c r="J958" s="109"/>
      <c r="K958" s="110"/>
      <c r="L958" s="109"/>
      <c r="M958" s="111"/>
      <c r="N958" s="109"/>
      <c r="O958" s="109"/>
      <c r="P958" s="110"/>
      <c r="Q958" s="109"/>
      <c r="R958" s="111"/>
      <c r="S958" s="109"/>
      <c r="T958" s="109"/>
      <c r="U958" s="110"/>
      <c r="V958" s="109"/>
      <c r="W958" s="111"/>
      <c r="X958" s="109"/>
      <c r="Y958" s="109"/>
      <c r="Z958" s="110"/>
      <c r="AA958" s="109"/>
      <c r="AB958" s="111"/>
      <c r="AC958" s="109"/>
      <c r="AD958" s="109"/>
      <c r="AE958" s="110"/>
      <c r="AF958" s="109"/>
      <c r="AG958" s="111"/>
      <c r="AH958" s="109"/>
      <c r="AI958" s="109"/>
      <c r="AJ958" s="110"/>
      <c r="AK958" s="109"/>
      <c r="AL958" s="111"/>
      <c r="AM958" s="109"/>
      <c r="AN958" s="109"/>
      <c r="AO958" s="110"/>
      <c r="AP958" s="109"/>
      <c r="AQ958" s="111"/>
      <c r="AR958" s="109"/>
      <c r="AS958" s="109"/>
      <c r="AT958" s="110"/>
      <c r="AU958" s="109"/>
      <c r="AV958" s="111"/>
      <c r="AW958" s="109"/>
      <c r="AX958" s="109"/>
      <c r="AY958" s="110"/>
      <c r="AZ958" s="109"/>
      <c r="BA958" s="111"/>
      <c r="BB958" s="109"/>
      <c r="BC958" s="109"/>
      <c r="BD958" s="110"/>
      <c r="BE958" s="109"/>
      <c r="BF958" s="111"/>
      <c r="BG958" s="109"/>
      <c r="BH958" s="109"/>
      <c r="BI958" s="110"/>
      <c r="BJ958" s="109"/>
      <c r="BK958" s="111"/>
      <c r="BL958" s="109"/>
      <c r="BM958" s="109"/>
      <c r="BN958" s="110"/>
      <c r="BO958" s="109"/>
      <c r="BP958" s="111"/>
      <c r="BQ958" s="109"/>
      <c r="BR958" s="109"/>
      <c r="BS958" s="110"/>
      <c r="BT958" s="109"/>
      <c r="BU958" s="111"/>
      <c r="BV958" s="109"/>
      <c r="BW958" s="109"/>
      <c r="BX958" s="110"/>
      <c r="BY958" s="109"/>
      <c r="BZ958" s="111"/>
      <c r="CA958" s="109"/>
      <c r="CB958" s="109"/>
      <c r="CC958" s="110"/>
      <c r="CD958" s="109"/>
      <c r="CE958" s="111"/>
      <c r="CF958" s="109"/>
      <c r="CG958" s="109"/>
      <c r="CH958" s="110"/>
      <c r="CI958" s="109"/>
      <c r="CJ958" s="111"/>
      <c r="CK958" s="109"/>
      <c r="CL958" s="109"/>
      <c r="CM958" s="110"/>
      <c r="CN958" s="109"/>
      <c r="CO958" s="111"/>
      <c r="CP958" s="109"/>
      <c r="CQ958" s="109"/>
      <c r="CR958" s="110"/>
      <c r="CS958" s="109"/>
      <c r="CT958" s="111"/>
      <c r="CU958" s="109"/>
      <c r="CV958" s="109"/>
      <c r="CW958" s="110"/>
      <c r="CX958" s="109"/>
      <c r="CY958" s="111"/>
      <c r="CZ958" s="109"/>
      <c r="DA958" s="109"/>
      <c r="DB958" s="110"/>
      <c r="DC958" s="109"/>
      <c r="DD958" s="111"/>
      <c r="DE958" s="109"/>
      <c r="DF958" s="109"/>
      <c r="DG958" s="110"/>
      <c r="DH958" s="109"/>
      <c r="DI958" s="111"/>
      <c r="DJ958" s="109"/>
      <c r="DK958" s="109"/>
      <c r="DL958" s="110"/>
      <c r="DM958" s="109"/>
      <c r="DN958" s="111"/>
      <c r="DO958" s="109"/>
      <c r="DP958" s="109"/>
      <c r="DQ958" s="110"/>
      <c r="DR958" s="109"/>
      <c r="DS958" s="111"/>
      <c r="DT958" s="109"/>
      <c r="DU958" s="109"/>
      <c r="DV958" s="110"/>
      <c r="DW958" s="109"/>
      <c r="DX958" s="111"/>
      <c r="DY958" s="109"/>
      <c r="DZ958" s="109"/>
      <c r="EA958" s="110"/>
      <c r="EB958" s="109"/>
      <c r="EC958" s="111"/>
      <c r="ED958" s="109"/>
      <c r="EE958" s="109"/>
      <c r="EF958" s="110"/>
      <c r="EG958" s="109"/>
      <c r="EH958" s="111"/>
      <c r="EI958" s="109"/>
      <c r="EJ958" s="109"/>
      <c r="EK958" s="110"/>
      <c r="EL958" s="109"/>
      <c r="EM958" s="111"/>
      <c r="EN958" s="109"/>
      <c r="EO958" s="109"/>
      <c r="EP958" s="110"/>
      <c r="EQ958" s="109"/>
      <c r="ER958" s="111"/>
      <c r="ES958" s="109"/>
      <c r="ET958" s="109"/>
      <c r="EU958" s="110"/>
      <c r="EV958" s="109"/>
      <c r="EW958" s="111"/>
      <c r="EX958" s="109"/>
      <c r="EY958" s="109"/>
      <c r="EZ958" s="110"/>
      <c r="FA958" s="109"/>
      <c r="FB958" s="111"/>
      <c r="FC958" s="109"/>
      <c r="FD958" s="109"/>
      <c r="FE958" s="110"/>
      <c r="FF958" s="109"/>
      <c r="FG958" s="111"/>
      <c r="FH958" s="109"/>
      <c r="FI958" s="109"/>
      <c r="FJ958" s="110"/>
      <c r="FK958" s="109"/>
      <c r="FL958" s="111"/>
      <c r="FM958" s="109"/>
      <c r="FN958" s="109"/>
      <c r="FO958" s="110"/>
      <c r="FP958" s="109"/>
      <c r="FQ958" s="111"/>
      <c r="FR958" s="109"/>
      <c r="FS958" s="109"/>
      <c r="FT958" s="110"/>
      <c r="FU958" s="109"/>
      <c r="FV958" s="111"/>
      <c r="FW958" s="109"/>
      <c r="FX958" s="109"/>
      <c r="FY958" s="110"/>
      <c r="FZ958" s="109"/>
      <c r="GA958" s="111"/>
      <c r="GB958" s="109"/>
      <c r="GC958" s="109"/>
      <c r="GD958" s="110"/>
      <c r="GE958" s="109"/>
      <c r="GF958" s="111"/>
      <c r="GG958" s="109"/>
      <c r="GH958" s="109"/>
      <c r="GI958" s="110"/>
      <c r="GJ958" s="109"/>
      <c r="GK958" s="111"/>
      <c r="GL958" s="109"/>
      <c r="GM958" s="109"/>
      <c r="GN958" s="110"/>
      <c r="GO958" s="109"/>
      <c r="GP958" s="111"/>
      <c r="GQ958" s="109"/>
      <c r="GR958" s="109"/>
      <c r="GS958" s="110"/>
      <c r="GT958" s="109"/>
      <c r="GU958" s="111"/>
      <c r="GV958" s="109"/>
      <c r="GW958" s="109"/>
      <c r="GX958" s="110"/>
      <c r="GY958" s="109"/>
      <c r="GZ958" s="111"/>
      <c r="HA958" s="109"/>
      <c r="HB958" s="109"/>
      <c r="HC958" s="110"/>
      <c r="HD958" s="109"/>
      <c r="HE958" s="111"/>
      <c r="HF958" s="109"/>
      <c r="HG958" s="109"/>
      <c r="HH958" s="110"/>
      <c r="HI958" s="109"/>
      <c r="HJ958" s="111"/>
      <c r="HK958" s="109"/>
      <c r="HL958" s="109"/>
      <c r="HM958" s="110"/>
      <c r="HN958" s="109"/>
      <c r="HO958" s="111"/>
      <c r="HP958" s="109"/>
      <c r="HQ958" s="109"/>
      <c r="HR958" s="110"/>
      <c r="HS958" s="109"/>
      <c r="HT958" s="111"/>
      <c r="HU958" s="109"/>
      <c r="HV958" s="109"/>
      <c r="HW958" s="110"/>
      <c r="HX958" s="109"/>
      <c r="HY958" s="111"/>
      <c r="HZ958" s="109"/>
      <c r="IA958" s="109"/>
      <c r="IB958" s="110"/>
      <c r="IC958" s="109"/>
      <c r="ID958" s="111"/>
      <c r="IE958" s="109"/>
      <c r="IF958" s="109"/>
      <c r="IG958" s="110"/>
      <c r="IH958" s="109"/>
      <c r="II958" s="111"/>
      <c r="IJ958" s="109"/>
      <c r="IK958" s="109"/>
      <c r="IL958" s="110"/>
      <c r="IM958" s="109"/>
      <c r="IN958" s="111"/>
      <c r="IO958" s="109"/>
      <c r="IP958" s="109"/>
      <c r="IQ958" s="110"/>
      <c r="IR958" s="109"/>
      <c r="IS958" s="111"/>
      <c r="IT958" s="109"/>
      <c r="IU958" s="109"/>
      <c r="IV958" s="110"/>
    </row>
    <row r="959" spans="1:256" s="123" customFormat="1" ht="14.25">
      <c r="A959" s="134">
        <v>37243</v>
      </c>
      <c r="B959" s="111">
        <v>276.2269</v>
      </c>
      <c r="C959" s="111">
        <f t="shared" si="15"/>
        <v>0.2762269</v>
      </c>
      <c r="D959" s="111">
        <v>169.2105</v>
      </c>
      <c r="E959" s="111">
        <v>186.9936</v>
      </c>
      <c r="F959" s="131"/>
      <c r="G959" s="109"/>
      <c r="H959" s="111"/>
      <c r="I959" s="109"/>
      <c r="J959" s="109"/>
      <c r="K959" s="110"/>
      <c r="L959" s="109"/>
      <c r="M959" s="111"/>
      <c r="N959" s="109"/>
      <c r="O959" s="109"/>
      <c r="P959" s="110"/>
      <c r="Q959" s="109"/>
      <c r="R959" s="111"/>
      <c r="S959" s="109"/>
      <c r="T959" s="109"/>
      <c r="U959" s="110"/>
      <c r="V959" s="109"/>
      <c r="W959" s="111"/>
      <c r="X959" s="109"/>
      <c r="Y959" s="109"/>
      <c r="Z959" s="110"/>
      <c r="AA959" s="109"/>
      <c r="AB959" s="111"/>
      <c r="AC959" s="109"/>
      <c r="AD959" s="109"/>
      <c r="AE959" s="110"/>
      <c r="AF959" s="109"/>
      <c r="AG959" s="111"/>
      <c r="AH959" s="109"/>
      <c r="AI959" s="109"/>
      <c r="AJ959" s="110"/>
      <c r="AK959" s="109"/>
      <c r="AL959" s="111"/>
      <c r="AM959" s="109"/>
      <c r="AN959" s="109"/>
      <c r="AO959" s="110"/>
      <c r="AP959" s="109"/>
      <c r="AQ959" s="111"/>
      <c r="AR959" s="109"/>
      <c r="AS959" s="109"/>
      <c r="AT959" s="110"/>
      <c r="AU959" s="109"/>
      <c r="AV959" s="111"/>
      <c r="AW959" s="109"/>
      <c r="AX959" s="109"/>
      <c r="AY959" s="110"/>
      <c r="AZ959" s="109"/>
      <c r="BA959" s="111"/>
      <c r="BB959" s="109"/>
      <c r="BC959" s="109"/>
      <c r="BD959" s="110"/>
      <c r="BE959" s="109"/>
      <c r="BF959" s="111"/>
      <c r="BG959" s="109"/>
      <c r="BH959" s="109"/>
      <c r="BI959" s="110"/>
      <c r="BJ959" s="109"/>
      <c r="BK959" s="111"/>
      <c r="BL959" s="109"/>
      <c r="BM959" s="109"/>
      <c r="BN959" s="110"/>
      <c r="BO959" s="109"/>
      <c r="BP959" s="111"/>
      <c r="BQ959" s="109"/>
      <c r="BR959" s="109"/>
      <c r="BS959" s="110"/>
      <c r="BT959" s="109"/>
      <c r="BU959" s="111"/>
      <c r="BV959" s="109"/>
      <c r="BW959" s="109"/>
      <c r="BX959" s="110"/>
      <c r="BY959" s="109"/>
      <c r="BZ959" s="111"/>
      <c r="CA959" s="109"/>
      <c r="CB959" s="109"/>
      <c r="CC959" s="110"/>
      <c r="CD959" s="109"/>
      <c r="CE959" s="111"/>
      <c r="CF959" s="109"/>
      <c r="CG959" s="109"/>
      <c r="CH959" s="110"/>
      <c r="CI959" s="109"/>
      <c r="CJ959" s="111"/>
      <c r="CK959" s="109"/>
      <c r="CL959" s="109"/>
      <c r="CM959" s="110"/>
      <c r="CN959" s="109"/>
      <c r="CO959" s="111"/>
      <c r="CP959" s="109"/>
      <c r="CQ959" s="109"/>
      <c r="CR959" s="110"/>
      <c r="CS959" s="109"/>
      <c r="CT959" s="111"/>
      <c r="CU959" s="109"/>
      <c r="CV959" s="109"/>
      <c r="CW959" s="110"/>
      <c r="CX959" s="109"/>
      <c r="CY959" s="111"/>
      <c r="CZ959" s="109"/>
      <c r="DA959" s="109"/>
      <c r="DB959" s="110"/>
      <c r="DC959" s="109"/>
      <c r="DD959" s="111"/>
      <c r="DE959" s="109"/>
      <c r="DF959" s="109"/>
      <c r="DG959" s="110"/>
      <c r="DH959" s="109"/>
      <c r="DI959" s="111"/>
      <c r="DJ959" s="109"/>
      <c r="DK959" s="109"/>
      <c r="DL959" s="110"/>
      <c r="DM959" s="109"/>
      <c r="DN959" s="111"/>
      <c r="DO959" s="109"/>
      <c r="DP959" s="109"/>
      <c r="DQ959" s="110"/>
      <c r="DR959" s="109"/>
      <c r="DS959" s="111"/>
      <c r="DT959" s="109"/>
      <c r="DU959" s="109"/>
      <c r="DV959" s="110"/>
      <c r="DW959" s="109"/>
      <c r="DX959" s="111"/>
      <c r="DY959" s="109"/>
      <c r="DZ959" s="109"/>
      <c r="EA959" s="110"/>
      <c r="EB959" s="109"/>
      <c r="EC959" s="111"/>
      <c r="ED959" s="109"/>
      <c r="EE959" s="109"/>
      <c r="EF959" s="110"/>
      <c r="EG959" s="109"/>
      <c r="EH959" s="111"/>
      <c r="EI959" s="109"/>
      <c r="EJ959" s="109"/>
      <c r="EK959" s="110"/>
      <c r="EL959" s="109"/>
      <c r="EM959" s="111"/>
      <c r="EN959" s="109"/>
      <c r="EO959" s="109"/>
      <c r="EP959" s="110"/>
      <c r="EQ959" s="109"/>
      <c r="ER959" s="111"/>
      <c r="ES959" s="109"/>
      <c r="ET959" s="109"/>
      <c r="EU959" s="110"/>
      <c r="EV959" s="109"/>
      <c r="EW959" s="111"/>
      <c r="EX959" s="109"/>
      <c r="EY959" s="109"/>
      <c r="EZ959" s="110"/>
      <c r="FA959" s="109"/>
      <c r="FB959" s="111"/>
      <c r="FC959" s="109"/>
      <c r="FD959" s="109"/>
      <c r="FE959" s="110"/>
      <c r="FF959" s="109"/>
      <c r="FG959" s="111"/>
      <c r="FH959" s="109"/>
      <c r="FI959" s="109"/>
      <c r="FJ959" s="110"/>
      <c r="FK959" s="109"/>
      <c r="FL959" s="111"/>
      <c r="FM959" s="109"/>
      <c r="FN959" s="109"/>
      <c r="FO959" s="110"/>
      <c r="FP959" s="109"/>
      <c r="FQ959" s="111"/>
      <c r="FR959" s="109"/>
      <c r="FS959" s="109"/>
      <c r="FT959" s="110"/>
      <c r="FU959" s="109"/>
      <c r="FV959" s="111"/>
      <c r="FW959" s="109"/>
      <c r="FX959" s="109"/>
      <c r="FY959" s="110"/>
      <c r="FZ959" s="109"/>
      <c r="GA959" s="111"/>
      <c r="GB959" s="109"/>
      <c r="GC959" s="109"/>
      <c r="GD959" s="110"/>
      <c r="GE959" s="109"/>
      <c r="GF959" s="111"/>
      <c r="GG959" s="109"/>
      <c r="GH959" s="109"/>
      <c r="GI959" s="110"/>
      <c r="GJ959" s="109"/>
      <c r="GK959" s="111"/>
      <c r="GL959" s="109"/>
      <c r="GM959" s="109"/>
      <c r="GN959" s="110"/>
      <c r="GO959" s="109"/>
      <c r="GP959" s="111"/>
      <c r="GQ959" s="109"/>
      <c r="GR959" s="109"/>
      <c r="GS959" s="110"/>
      <c r="GT959" s="109"/>
      <c r="GU959" s="111"/>
      <c r="GV959" s="109"/>
      <c r="GW959" s="109"/>
      <c r="GX959" s="110"/>
      <c r="GY959" s="109"/>
      <c r="GZ959" s="111"/>
      <c r="HA959" s="109"/>
      <c r="HB959" s="109"/>
      <c r="HC959" s="110"/>
      <c r="HD959" s="109"/>
      <c r="HE959" s="111"/>
      <c r="HF959" s="109"/>
      <c r="HG959" s="109"/>
      <c r="HH959" s="110"/>
      <c r="HI959" s="109"/>
      <c r="HJ959" s="111"/>
      <c r="HK959" s="109"/>
      <c r="HL959" s="109"/>
      <c r="HM959" s="110"/>
      <c r="HN959" s="109"/>
      <c r="HO959" s="111"/>
      <c r="HP959" s="109"/>
      <c r="HQ959" s="109"/>
      <c r="HR959" s="110"/>
      <c r="HS959" s="109"/>
      <c r="HT959" s="111"/>
      <c r="HU959" s="109"/>
      <c r="HV959" s="109"/>
      <c r="HW959" s="110"/>
      <c r="HX959" s="109"/>
      <c r="HY959" s="111"/>
      <c r="HZ959" s="109"/>
      <c r="IA959" s="109"/>
      <c r="IB959" s="110"/>
      <c r="IC959" s="109"/>
      <c r="ID959" s="111"/>
      <c r="IE959" s="109"/>
      <c r="IF959" s="109"/>
      <c r="IG959" s="110"/>
      <c r="IH959" s="109"/>
      <c r="II959" s="111"/>
      <c r="IJ959" s="109"/>
      <c r="IK959" s="109"/>
      <c r="IL959" s="110"/>
      <c r="IM959" s="109"/>
      <c r="IN959" s="111"/>
      <c r="IO959" s="109"/>
      <c r="IP959" s="109"/>
      <c r="IQ959" s="110"/>
      <c r="IR959" s="109"/>
      <c r="IS959" s="111"/>
      <c r="IT959" s="109"/>
      <c r="IU959" s="109"/>
      <c r="IV959" s="110"/>
    </row>
    <row r="960" spans="1:256" s="123" customFormat="1" ht="14.25">
      <c r="A960" s="134">
        <v>37244</v>
      </c>
      <c r="B960" s="111">
        <v>328.0259</v>
      </c>
      <c r="C960" s="111">
        <f t="shared" si="15"/>
        <v>0.3280259</v>
      </c>
      <c r="D960" s="111">
        <v>200.4998</v>
      </c>
      <c r="E960" s="111">
        <v>222.481</v>
      </c>
      <c r="F960" s="131"/>
      <c r="G960" s="109"/>
      <c r="H960" s="111"/>
      <c r="I960" s="109"/>
      <c r="J960" s="109"/>
      <c r="K960" s="110"/>
      <c r="L960" s="109"/>
      <c r="M960" s="111"/>
      <c r="N960" s="109"/>
      <c r="O960" s="109"/>
      <c r="P960" s="110"/>
      <c r="Q960" s="109"/>
      <c r="R960" s="111"/>
      <c r="S960" s="109"/>
      <c r="T960" s="109"/>
      <c r="U960" s="110"/>
      <c r="V960" s="109"/>
      <c r="W960" s="111"/>
      <c r="X960" s="109"/>
      <c r="Y960" s="109"/>
      <c r="Z960" s="110"/>
      <c r="AA960" s="109"/>
      <c r="AB960" s="111"/>
      <c r="AC960" s="109"/>
      <c r="AD960" s="109"/>
      <c r="AE960" s="110"/>
      <c r="AF960" s="109"/>
      <c r="AG960" s="111"/>
      <c r="AH960" s="109"/>
      <c r="AI960" s="109"/>
      <c r="AJ960" s="110"/>
      <c r="AK960" s="109"/>
      <c r="AL960" s="111"/>
      <c r="AM960" s="109"/>
      <c r="AN960" s="109"/>
      <c r="AO960" s="110"/>
      <c r="AP960" s="109"/>
      <c r="AQ960" s="111"/>
      <c r="AR960" s="109"/>
      <c r="AS960" s="109"/>
      <c r="AT960" s="110"/>
      <c r="AU960" s="109"/>
      <c r="AV960" s="111"/>
      <c r="AW960" s="109"/>
      <c r="AX960" s="109"/>
      <c r="AY960" s="110"/>
      <c r="AZ960" s="109"/>
      <c r="BA960" s="111"/>
      <c r="BB960" s="109"/>
      <c r="BC960" s="109"/>
      <c r="BD960" s="110"/>
      <c r="BE960" s="109"/>
      <c r="BF960" s="111"/>
      <c r="BG960" s="109"/>
      <c r="BH960" s="109"/>
      <c r="BI960" s="110"/>
      <c r="BJ960" s="109"/>
      <c r="BK960" s="111"/>
      <c r="BL960" s="109"/>
      <c r="BM960" s="109"/>
      <c r="BN960" s="110"/>
      <c r="BO960" s="109"/>
      <c r="BP960" s="111"/>
      <c r="BQ960" s="109"/>
      <c r="BR960" s="109"/>
      <c r="BS960" s="110"/>
      <c r="BT960" s="109"/>
      <c r="BU960" s="111"/>
      <c r="BV960" s="109"/>
      <c r="BW960" s="109"/>
      <c r="BX960" s="110"/>
      <c r="BY960" s="109"/>
      <c r="BZ960" s="111"/>
      <c r="CA960" s="109"/>
      <c r="CB960" s="109"/>
      <c r="CC960" s="110"/>
      <c r="CD960" s="109"/>
      <c r="CE960" s="111"/>
      <c r="CF960" s="109"/>
      <c r="CG960" s="109"/>
      <c r="CH960" s="110"/>
      <c r="CI960" s="109"/>
      <c r="CJ960" s="111"/>
      <c r="CK960" s="109"/>
      <c r="CL960" s="109"/>
      <c r="CM960" s="110"/>
      <c r="CN960" s="109"/>
      <c r="CO960" s="111"/>
      <c r="CP960" s="109"/>
      <c r="CQ960" s="109"/>
      <c r="CR960" s="110"/>
      <c r="CS960" s="109"/>
      <c r="CT960" s="111"/>
      <c r="CU960" s="109"/>
      <c r="CV960" s="109"/>
      <c r="CW960" s="110"/>
      <c r="CX960" s="109"/>
      <c r="CY960" s="111"/>
      <c r="CZ960" s="109"/>
      <c r="DA960" s="109"/>
      <c r="DB960" s="110"/>
      <c r="DC960" s="109"/>
      <c r="DD960" s="111"/>
      <c r="DE960" s="109"/>
      <c r="DF960" s="109"/>
      <c r="DG960" s="110"/>
      <c r="DH960" s="109"/>
      <c r="DI960" s="111"/>
      <c r="DJ960" s="109"/>
      <c r="DK960" s="109"/>
      <c r="DL960" s="110"/>
      <c r="DM960" s="109"/>
      <c r="DN960" s="111"/>
      <c r="DO960" s="109"/>
      <c r="DP960" s="109"/>
      <c r="DQ960" s="110"/>
      <c r="DR960" s="109"/>
      <c r="DS960" s="111"/>
      <c r="DT960" s="109"/>
      <c r="DU960" s="109"/>
      <c r="DV960" s="110"/>
      <c r="DW960" s="109"/>
      <c r="DX960" s="111"/>
      <c r="DY960" s="109"/>
      <c r="DZ960" s="109"/>
      <c r="EA960" s="110"/>
      <c r="EB960" s="109"/>
      <c r="EC960" s="111"/>
      <c r="ED960" s="109"/>
      <c r="EE960" s="109"/>
      <c r="EF960" s="110"/>
      <c r="EG960" s="109"/>
      <c r="EH960" s="111"/>
      <c r="EI960" s="109"/>
      <c r="EJ960" s="109"/>
      <c r="EK960" s="110"/>
      <c r="EL960" s="109"/>
      <c r="EM960" s="111"/>
      <c r="EN960" s="109"/>
      <c r="EO960" s="109"/>
      <c r="EP960" s="110"/>
      <c r="EQ960" s="109"/>
      <c r="ER960" s="111"/>
      <c r="ES960" s="109"/>
      <c r="ET960" s="109"/>
      <c r="EU960" s="110"/>
      <c r="EV960" s="109"/>
      <c r="EW960" s="111"/>
      <c r="EX960" s="109"/>
      <c r="EY960" s="109"/>
      <c r="EZ960" s="110"/>
      <c r="FA960" s="109"/>
      <c r="FB960" s="111"/>
      <c r="FC960" s="109"/>
      <c r="FD960" s="109"/>
      <c r="FE960" s="110"/>
      <c r="FF960" s="109"/>
      <c r="FG960" s="111"/>
      <c r="FH960" s="109"/>
      <c r="FI960" s="109"/>
      <c r="FJ960" s="110"/>
      <c r="FK960" s="109"/>
      <c r="FL960" s="111"/>
      <c r="FM960" s="109"/>
      <c r="FN960" s="109"/>
      <c r="FO960" s="110"/>
      <c r="FP960" s="109"/>
      <c r="FQ960" s="111"/>
      <c r="FR960" s="109"/>
      <c r="FS960" s="109"/>
      <c r="FT960" s="110"/>
      <c r="FU960" s="109"/>
      <c r="FV960" s="111"/>
      <c r="FW960" s="109"/>
      <c r="FX960" s="109"/>
      <c r="FY960" s="110"/>
      <c r="FZ960" s="109"/>
      <c r="GA960" s="111"/>
      <c r="GB960" s="109"/>
      <c r="GC960" s="109"/>
      <c r="GD960" s="110"/>
      <c r="GE960" s="109"/>
      <c r="GF960" s="111"/>
      <c r="GG960" s="109"/>
      <c r="GH960" s="109"/>
      <c r="GI960" s="110"/>
      <c r="GJ960" s="109"/>
      <c r="GK960" s="111"/>
      <c r="GL960" s="109"/>
      <c r="GM960" s="109"/>
      <c r="GN960" s="110"/>
      <c r="GO960" s="109"/>
      <c r="GP960" s="111"/>
      <c r="GQ960" s="109"/>
      <c r="GR960" s="109"/>
      <c r="GS960" s="110"/>
      <c r="GT960" s="109"/>
      <c r="GU960" s="111"/>
      <c r="GV960" s="109"/>
      <c r="GW960" s="109"/>
      <c r="GX960" s="110"/>
      <c r="GY960" s="109"/>
      <c r="GZ960" s="111"/>
      <c r="HA960" s="109"/>
      <c r="HB960" s="109"/>
      <c r="HC960" s="110"/>
      <c r="HD960" s="109"/>
      <c r="HE960" s="111"/>
      <c r="HF960" s="109"/>
      <c r="HG960" s="109"/>
      <c r="HH960" s="110"/>
      <c r="HI960" s="109"/>
      <c r="HJ960" s="111"/>
      <c r="HK960" s="109"/>
      <c r="HL960" s="109"/>
      <c r="HM960" s="110"/>
      <c r="HN960" s="109"/>
      <c r="HO960" s="111"/>
      <c r="HP960" s="109"/>
      <c r="HQ960" s="109"/>
      <c r="HR960" s="110"/>
      <c r="HS960" s="109"/>
      <c r="HT960" s="111"/>
      <c r="HU960" s="109"/>
      <c r="HV960" s="109"/>
      <c r="HW960" s="110"/>
      <c r="HX960" s="109"/>
      <c r="HY960" s="111"/>
      <c r="HZ960" s="109"/>
      <c r="IA960" s="109"/>
      <c r="IB960" s="110"/>
      <c r="IC960" s="109"/>
      <c r="ID960" s="111"/>
      <c r="IE960" s="109"/>
      <c r="IF960" s="109"/>
      <c r="IG960" s="110"/>
      <c r="IH960" s="109"/>
      <c r="II960" s="111"/>
      <c r="IJ960" s="109"/>
      <c r="IK960" s="109"/>
      <c r="IL960" s="110"/>
      <c r="IM960" s="109"/>
      <c r="IN960" s="111"/>
      <c r="IO960" s="109"/>
      <c r="IP960" s="109"/>
      <c r="IQ960" s="110"/>
      <c r="IR960" s="109"/>
      <c r="IS960" s="111"/>
      <c r="IT960" s="109"/>
      <c r="IU960" s="109"/>
      <c r="IV960" s="110"/>
    </row>
    <row r="961" spans="1:256" s="123" customFormat="1" ht="14.25">
      <c r="A961" s="134">
        <v>37245</v>
      </c>
      <c r="B961" s="111">
        <v>161.1903</v>
      </c>
      <c r="C961" s="111">
        <f t="shared" si="15"/>
        <v>0.1611903</v>
      </c>
      <c r="D961" s="111">
        <v>98.2742</v>
      </c>
      <c r="E961" s="111">
        <v>109.4002</v>
      </c>
      <c r="F961" s="131"/>
      <c r="G961" s="109"/>
      <c r="H961" s="111"/>
      <c r="I961" s="109"/>
      <c r="J961" s="109"/>
      <c r="K961" s="110"/>
      <c r="L961" s="109"/>
      <c r="M961" s="111"/>
      <c r="N961" s="109"/>
      <c r="O961" s="109"/>
      <c r="P961" s="110"/>
      <c r="Q961" s="109"/>
      <c r="R961" s="111"/>
      <c r="S961" s="109"/>
      <c r="T961" s="109"/>
      <c r="U961" s="110"/>
      <c r="V961" s="109"/>
      <c r="W961" s="111"/>
      <c r="X961" s="109"/>
      <c r="Y961" s="109"/>
      <c r="Z961" s="110"/>
      <c r="AA961" s="109"/>
      <c r="AB961" s="111"/>
      <c r="AC961" s="109"/>
      <c r="AD961" s="109"/>
      <c r="AE961" s="110"/>
      <c r="AF961" s="109"/>
      <c r="AG961" s="111"/>
      <c r="AH961" s="109"/>
      <c r="AI961" s="109"/>
      <c r="AJ961" s="110"/>
      <c r="AK961" s="109"/>
      <c r="AL961" s="111"/>
      <c r="AM961" s="109"/>
      <c r="AN961" s="109"/>
      <c r="AO961" s="110"/>
      <c r="AP961" s="109"/>
      <c r="AQ961" s="111"/>
      <c r="AR961" s="109"/>
      <c r="AS961" s="109"/>
      <c r="AT961" s="110"/>
      <c r="AU961" s="109"/>
      <c r="AV961" s="111"/>
      <c r="AW961" s="109"/>
      <c r="AX961" s="109"/>
      <c r="AY961" s="110"/>
      <c r="AZ961" s="109"/>
      <c r="BA961" s="111"/>
      <c r="BB961" s="109"/>
      <c r="BC961" s="109"/>
      <c r="BD961" s="110"/>
      <c r="BE961" s="109"/>
      <c r="BF961" s="111"/>
      <c r="BG961" s="109"/>
      <c r="BH961" s="109"/>
      <c r="BI961" s="110"/>
      <c r="BJ961" s="109"/>
      <c r="BK961" s="111"/>
      <c r="BL961" s="109"/>
      <c r="BM961" s="109"/>
      <c r="BN961" s="110"/>
      <c r="BO961" s="109"/>
      <c r="BP961" s="111"/>
      <c r="BQ961" s="109"/>
      <c r="BR961" s="109"/>
      <c r="BS961" s="110"/>
      <c r="BT961" s="109"/>
      <c r="BU961" s="111"/>
      <c r="BV961" s="109"/>
      <c r="BW961" s="109"/>
      <c r="BX961" s="110"/>
      <c r="BY961" s="109"/>
      <c r="BZ961" s="111"/>
      <c r="CA961" s="109"/>
      <c r="CB961" s="109"/>
      <c r="CC961" s="110"/>
      <c r="CD961" s="109"/>
      <c r="CE961" s="111"/>
      <c r="CF961" s="109"/>
      <c r="CG961" s="109"/>
      <c r="CH961" s="110"/>
      <c r="CI961" s="109"/>
      <c r="CJ961" s="111"/>
      <c r="CK961" s="109"/>
      <c r="CL961" s="109"/>
      <c r="CM961" s="110"/>
      <c r="CN961" s="109"/>
      <c r="CO961" s="111"/>
      <c r="CP961" s="109"/>
      <c r="CQ961" s="109"/>
      <c r="CR961" s="110"/>
      <c r="CS961" s="109"/>
      <c r="CT961" s="111"/>
      <c r="CU961" s="109"/>
      <c r="CV961" s="109"/>
      <c r="CW961" s="110"/>
      <c r="CX961" s="109"/>
      <c r="CY961" s="111"/>
      <c r="CZ961" s="109"/>
      <c r="DA961" s="109"/>
      <c r="DB961" s="110"/>
      <c r="DC961" s="109"/>
      <c r="DD961" s="111"/>
      <c r="DE961" s="109"/>
      <c r="DF961" s="109"/>
      <c r="DG961" s="110"/>
      <c r="DH961" s="109"/>
      <c r="DI961" s="111"/>
      <c r="DJ961" s="109"/>
      <c r="DK961" s="109"/>
      <c r="DL961" s="110"/>
      <c r="DM961" s="109"/>
      <c r="DN961" s="111"/>
      <c r="DO961" s="109"/>
      <c r="DP961" s="109"/>
      <c r="DQ961" s="110"/>
      <c r="DR961" s="109"/>
      <c r="DS961" s="111"/>
      <c r="DT961" s="109"/>
      <c r="DU961" s="109"/>
      <c r="DV961" s="110"/>
      <c r="DW961" s="109"/>
      <c r="DX961" s="111"/>
      <c r="DY961" s="109"/>
      <c r="DZ961" s="109"/>
      <c r="EA961" s="110"/>
      <c r="EB961" s="109"/>
      <c r="EC961" s="111"/>
      <c r="ED961" s="109"/>
      <c r="EE961" s="109"/>
      <c r="EF961" s="110"/>
      <c r="EG961" s="109"/>
      <c r="EH961" s="111"/>
      <c r="EI961" s="109"/>
      <c r="EJ961" s="109"/>
      <c r="EK961" s="110"/>
      <c r="EL961" s="109"/>
      <c r="EM961" s="111"/>
      <c r="EN961" s="109"/>
      <c r="EO961" s="109"/>
      <c r="EP961" s="110"/>
      <c r="EQ961" s="109"/>
      <c r="ER961" s="111"/>
      <c r="ES961" s="109"/>
      <c r="ET961" s="109"/>
      <c r="EU961" s="110"/>
      <c r="EV961" s="109"/>
      <c r="EW961" s="111"/>
      <c r="EX961" s="109"/>
      <c r="EY961" s="109"/>
      <c r="EZ961" s="110"/>
      <c r="FA961" s="109"/>
      <c r="FB961" s="111"/>
      <c r="FC961" s="109"/>
      <c r="FD961" s="109"/>
      <c r="FE961" s="110"/>
      <c r="FF961" s="109"/>
      <c r="FG961" s="111"/>
      <c r="FH961" s="109"/>
      <c r="FI961" s="109"/>
      <c r="FJ961" s="110"/>
      <c r="FK961" s="109"/>
      <c r="FL961" s="111"/>
      <c r="FM961" s="109"/>
      <c r="FN961" s="109"/>
      <c r="FO961" s="110"/>
      <c r="FP961" s="109"/>
      <c r="FQ961" s="111"/>
      <c r="FR961" s="109"/>
      <c r="FS961" s="109"/>
      <c r="FT961" s="110"/>
      <c r="FU961" s="109"/>
      <c r="FV961" s="111"/>
      <c r="FW961" s="109"/>
      <c r="FX961" s="109"/>
      <c r="FY961" s="110"/>
      <c r="FZ961" s="109"/>
      <c r="GA961" s="111"/>
      <c r="GB961" s="109"/>
      <c r="GC961" s="109"/>
      <c r="GD961" s="110"/>
      <c r="GE961" s="109"/>
      <c r="GF961" s="111"/>
      <c r="GG961" s="109"/>
      <c r="GH961" s="109"/>
      <c r="GI961" s="110"/>
      <c r="GJ961" s="109"/>
      <c r="GK961" s="111"/>
      <c r="GL961" s="109"/>
      <c r="GM961" s="109"/>
      <c r="GN961" s="110"/>
      <c r="GO961" s="109"/>
      <c r="GP961" s="111"/>
      <c r="GQ961" s="109"/>
      <c r="GR961" s="109"/>
      <c r="GS961" s="110"/>
      <c r="GT961" s="109"/>
      <c r="GU961" s="111"/>
      <c r="GV961" s="109"/>
      <c r="GW961" s="109"/>
      <c r="GX961" s="110"/>
      <c r="GY961" s="109"/>
      <c r="GZ961" s="111"/>
      <c r="HA961" s="109"/>
      <c r="HB961" s="109"/>
      <c r="HC961" s="110"/>
      <c r="HD961" s="109"/>
      <c r="HE961" s="111"/>
      <c r="HF961" s="109"/>
      <c r="HG961" s="109"/>
      <c r="HH961" s="110"/>
      <c r="HI961" s="109"/>
      <c r="HJ961" s="111"/>
      <c r="HK961" s="109"/>
      <c r="HL961" s="109"/>
      <c r="HM961" s="110"/>
      <c r="HN961" s="109"/>
      <c r="HO961" s="111"/>
      <c r="HP961" s="109"/>
      <c r="HQ961" s="109"/>
      <c r="HR961" s="110"/>
      <c r="HS961" s="109"/>
      <c r="HT961" s="111"/>
      <c r="HU961" s="109"/>
      <c r="HV961" s="109"/>
      <c r="HW961" s="110"/>
      <c r="HX961" s="109"/>
      <c r="HY961" s="111"/>
      <c r="HZ961" s="109"/>
      <c r="IA961" s="109"/>
      <c r="IB961" s="110"/>
      <c r="IC961" s="109"/>
      <c r="ID961" s="111"/>
      <c r="IE961" s="109"/>
      <c r="IF961" s="109"/>
      <c r="IG961" s="110"/>
      <c r="IH961" s="109"/>
      <c r="II961" s="111"/>
      <c r="IJ961" s="109"/>
      <c r="IK961" s="109"/>
      <c r="IL961" s="110"/>
      <c r="IM961" s="109"/>
      <c r="IN961" s="111"/>
      <c r="IO961" s="109"/>
      <c r="IP961" s="109"/>
      <c r="IQ961" s="110"/>
      <c r="IR961" s="109"/>
      <c r="IS961" s="111"/>
      <c r="IT961" s="109"/>
      <c r="IU961" s="109"/>
      <c r="IV961" s="110"/>
    </row>
    <row r="962" spans="1:256" s="123" customFormat="1" ht="14.25">
      <c r="A962" s="134">
        <v>37246</v>
      </c>
      <c r="B962" s="111">
        <v>76.5295</v>
      </c>
      <c r="C962" s="111">
        <f t="shared" si="15"/>
        <v>0.0765295</v>
      </c>
      <c r="D962" s="111">
        <v>46.7938</v>
      </c>
      <c r="E962" s="111">
        <v>52.1496</v>
      </c>
      <c r="F962" s="131"/>
      <c r="G962" s="109"/>
      <c r="H962" s="111"/>
      <c r="I962" s="109"/>
      <c r="J962" s="109"/>
      <c r="K962" s="110"/>
      <c r="L962" s="109"/>
      <c r="M962" s="111"/>
      <c r="N962" s="109"/>
      <c r="O962" s="109"/>
      <c r="P962" s="110"/>
      <c r="Q962" s="109"/>
      <c r="R962" s="111"/>
      <c r="S962" s="109"/>
      <c r="T962" s="109"/>
      <c r="U962" s="110"/>
      <c r="V962" s="109"/>
      <c r="W962" s="111"/>
      <c r="X962" s="109"/>
      <c r="Y962" s="109"/>
      <c r="Z962" s="110"/>
      <c r="AA962" s="109"/>
      <c r="AB962" s="111"/>
      <c r="AC962" s="109"/>
      <c r="AD962" s="109"/>
      <c r="AE962" s="110"/>
      <c r="AF962" s="109"/>
      <c r="AG962" s="111"/>
      <c r="AH962" s="109"/>
      <c r="AI962" s="109"/>
      <c r="AJ962" s="110"/>
      <c r="AK962" s="109"/>
      <c r="AL962" s="111"/>
      <c r="AM962" s="109"/>
      <c r="AN962" s="109"/>
      <c r="AO962" s="110"/>
      <c r="AP962" s="109"/>
      <c r="AQ962" s="111"/>
      <c r="AR962" s="109"/>
      <c r="AS962" s="109"/>
      <c r="AT962" s="110"/>
      <c r="AU962" s="109"/>
      <c r="AV962" s="111"/>
      <c r="AW962" s="109"/>
      <c r="AX962" s="109"/>
      <c r="AY962" s="110"/>
      <c r="AZ962" s="109"/>
      <c r="BA962" s="111"/>
      <c r="BB962" s="109"/>
      <c r="BC962" s="109"/>
      <c r="BD962" s="110"/>
      <c r="BE962" s="109"/>
      <c r="BF962" s="111"/>
      <c r="BG962" s="109"/>
      <c r="BH962" s="109"/>
      <c r="BI962" s="110"/>
      <c r="BJ962" s="109"/>
      <c r="BK962" s="111"/>
      <c r="BL962" s="109"/>
      <c r="BM962" s="109"/>
      <c r="BN962" s="110"/>
      <c r="BO962" s="109"/>
      <c r="BP962" s="111"/>
      <c r="BQ962" s="109"/>
      <c r="BR962" s="109"/>
      <c r="BS962" s="110"/>
      <c r="BT962" s="109"/>
      <c r="BU962" s="111"/>
      <c r="BV962" s="109"/>
      <c r="BW962" s="109"/>
      <c r="BX962" s="110"/>
      <c r="BY962" s="109"/>
      <c r="BZ962" s="111"/>
      <c r="CA962" s="109"/>
      <c r="CB962" s="109"/>
      <c r="CC962" s="110"/>
      <c r="CD962" s="109"/>
      <c r="CE962" s="111"/>
      <c r="CF962" s="109"/>
      <c r="CG962" s="109"/>
      <c r="CH962" s="110"/>
      <c r="CI962" s="109"/>
      <c r="CJ962" s="111"/>
      <c r="CK962" s="109"/>
      <c r="CL962" s="109"/>
      <c r="CM962" s="110"/>
      <c r="CN962" s="109"/>
      <c r="CO962" s="111"/>
      <c r="CP962" s="109"/>
      <c r="CQ962" s="109"/>
      <c r="CR962" s="110"/>
      <c r="CS962" s="109"/>
      <c r="CT962" s="111"/>
      <c r="CU962" s="109"/>
      <c r="CV962" s="109"/>
      <c r="CW962" s="110"/>
      <c r="CX962" s="109"/>
      <c r="CY962" s="111"/>
      <c r="CZ962" s="109"/>
      <c r="DA962" s="109"/>
      <c r="DB962" s="110"/>
      <c r="DC962" s="109"/>
      <c r="DD962" s="111"/>
      <c r="DE962" s="109"/>
      <c r="DF962" s="109"/>
      <c r="DG962" s="110"/>
      <c r="DH962" s="109"/>
      <c r="DI962" s="111"/>
      <c r="DJ962" s="109"/>
      <c r="DK962" s="109"/>
      <c r="DL962" s="110"/>
      <c r="DM962" s="109"/>
      <c r="DN962" s="111"/>
      <c r="DO962" s="109"/>
      <c r="DP962" s="109"/>
      <c r="DQ962" s="110"/>
      <c r="DR962" s="109"/>
      <c r="DS962" s="111"/>
      <c r="DT962" s="109"/>
      <c r="DU962" s="109"/>
      <c r="DV962" s="110"/>
      <c r="DW962" s="109"/>
      <c r="DX962" s="111"/>
      <c r="DY962" s="109"/>
      <c r="DZ962" s="109"/>
      <c r="EA962" s="110"/>
      <c r="EB962" s="109"/>
      <c r="EC962" s="111"/>
      <c r="ED962" s="109"/>
      <c r="EE962" s="109"/>
      <c r="EF962" s="110"/>
      <c r="EG962" s="109"/>
      <c r="EH962" s="111"/>
      <c r="EI962" s="109"/>
      <c r="EJ962" s="109"/>
      <c r="EK962" s="110"/>
      <c r="EL962" s="109"/>
      <c r="EM962" s="111"/>
      <c r="EN962" s="109"/>
      <c r="EO962" s="109"/>
      <c r="EP962" s="110"/>
      <c r="EQ962" s="109"/>
      <c r="ER962" s="111"/>
      <c r="ES962" s="109"/>
      <c r="ET962" s="109"/>
      <c r="EU962" s="110"/>
      <c r="EV962" s="109"/>
      <c r="EW962" s="111"/>
      <c r="EX962" s="109"/>
      <c r="EY962" s="109"/>
      <c r="EZ962" s="110"/>
      <c r="FA962" s="109"/>
      <c r="FB962" s="111"/>
      <c r="FC962" s="109"/>
      <c r="FD962" s="109"/>
      <c r="FE962" s="110"/>
      <c r="FF962" s="109"/>
      <c r="FG962" s="111"/>
      <c r="FH962" s="109"/>
      <c r="FI962" s="109"/>
      <c r="FJ962" s="110"/>
      <c r="FK962" s="109"/>
      <c r="FL962" s="111"/>
      <c r="FM962" s="109"/>
      <c r="FN962" s="109"/>
      <c r="FO962" s="110"/>
      <c r="FP962" s="109"/>
      <c r="FQ962" s="111"/>
      <c r="FR962" s="109"/>
      <c r="FS962" s="109"/>
      <c r="FT962" s="110"/>
      <c r="FU962" s="109"/>
      <c r="FV962" s="111"/>
      <c r="FW962" s="109"/>
      <c r="FX962" s="109"/>
      <c r="FY962" s="110"/>
      <c r="FZ962" s="109"/>
      <c r="GA962" s="111"/>
      <c r="GB962" s="109"/>
      <c r="GC962" s="109"/>
      <c r="GD962" s="110"/>
      <c r="GE962" s="109"/>
      <c r="GF962" s="111"/>
      <c r="GG962" s="109"/>
      <c r="GH962" s="109"/>
      <c r="GI962" s="110"/>
      <c r="GJ962" s="109"/>
      <c r="GK962" s="111"/>
      <c r="GL962" s="109"/>
      <c r="GM962" s="109"/>
      <c r="GN962" s="110"/>
      <c r="GO962" s="109"/>
      <c r="GP962" s="111"/>
      <c r="GQ962" s="109"/>
      <c r="GR962" s="109"/>
      <c r="GS962" s="110"/>
      <c r="GT962" s="109"/>
      <c r="GU962" s="111"/>
      <c r="GV962" s="109"/>
      <c r="GW962" s="109"/>
      <c r="GX962" s="110"/>
      <c r="GY962" s="109"/>
      <c r="GZ962" s="111"/>
      <c r="HA962" s="109"/>
      <c r="HB962" s="109"/>
      <c r="HC962" s="110"/>
      <c r="HD962" s="109"/>
      <c r="HE962" s="111"/>
      <c r="HF962" s="109"/>
      <c r="HG962" s="109"/>
      <c r="HH962" s="110"/>
      <c r="HI962" s="109"/>
      <c r="HJ962" s="111"/>
      <c r="HK962" s="109"/>
      <c r="HL962" s="109"/>
      <c r="HM962" s="110"/>
      <c r="HN962" s="109"/>
      <c r="HO962" s="111"/>
      <c r="HP962" s="109"/>
      <c r="HQ962" s="109"/>
      <c r="HR962" s="110"/>
      <c r="HS962" s="109"/>
      <c r="HT962" s="111"/>
      <c r="HU962" s="109"/>
      <c r="HV962" s="109"/>
      <c r="HW962" s="110"/>
      <c r="HX962" s="109"/>
      <c r="HY962" s="111"/>
      <c r="HZ962" s="109"/>
      <c r="IA962" s="109"/>
      <c r="IB962" s="110"/>
      <c r="IC962" s="109"/>
      <c r="ID962" s="111"/>
      <c r="IE962" s="109"/>
      <c r="IF962" s="109"/>
      <c r="IG962" s="110"/>
      <c r="IH962" s="109"/>
      <c r="II962" s="111"/>
      <c r="IJ962" s="109"/>
      <c r="IK962" s="109"/>
      <c r="IL962" s="110"/>
      <c r="IM962" s="109"/>
      <c r="IN962" s="111"/>
      <c r="IO962" s="109"/>
      <c r="IP962" s="109"/>
      <c r="IQ962" s="110"/>
      <c r="IR962" s="109"/>
      <c r="IS962" s="111"/>
      <c r="IT962" s="109"/>
      <c r="IU962" s="109"/>
      <c r="IV962" s="110"/>
    </row>
    <row r="963" spans="1:256" s="123" customFormat="1" ht="14.25">
      <c r="A963" s="134">
        <v>37249</v>
      </c>
      <c r="B963" s="111">
        <v>43.9543</v>
      </c>
      <c r="C963" s="111">
        <f>B963*10^-3</f>
        <v>0.0439543</v>
      </c>
      <c r="D963" s="111">
        <v>26.8463</v>
      </c>
      <c r="E963" s="111">
        <v>30.0193</v>
      </c>
      <c r="F963" s="131"/>
      <c r="G963" s="109"/>
      <c r="H963" s="111"/>
      <c r="I963" s="109"/>
      <c r="J963" s="109"/>
      <c r="K963" s="110"/>
      <c r="L963" s="109"/>
      <c r="M963" s="111"/>
      <c r="N963" s="109"/>
      <c r="O963" s="109"/>
      <c r="P963" s="110"/>
      <c r="Q963" s="109"/>
      <c r="R963" s="111"/>
      <c r="S963" s="109"/>
      <c r="T963" s="109"/>
      <c r="U963" s="110"/>
      <c r="V963" s="109"/>
      <c r="W963" s="111"/>
      <c r="X963" s="109"/>
      <c r="Y963" s="109"/>
      <c r="Z963" s="110"/>
      <c r="AA963" s="109"/>
      <c r="AB963" s="111"/>
      <c r="AC963" s="109"/>
      <c r="AD963" s="109"/>
      <c r="AE963" s="110"/>
      <c r="AF963" s="109"/>
      <c r="AG963" s="111"/>
      <c r="AH963" s="109"/>
      <c r="AI963" s="109"/>
      <c r="AJ963" s="110"/>
      <c r="AK963" s="109"/>
      <c r="AL963" s="111"/>
      <c r="AM963" s="109"/>
      <c r="AN963" s="109"/>
      <c r="AO963" s="110"/>
      <c r="AP963" s="109"/>
      <c r="AQ963" s="111"/>
      <c r="AR963" s="109"/>
      <c r="AS963" s="109"/>
      <c r="AT963" s="110"/>
      <c r="AU963" s="109"/>
      <c r="AV963" s="111"/>
      <c r="AW963" s="109"/>
      <c r="AX963" s="109"/>
      <c r="AY963" s="110"/>
      <c r="AZ963" s="109"/>
      <c r="BA963" s="111"/>
      <c r="BB963" s="109"/>
      <c r="BC963" s="109"/>
      <c r="BD963" s="110"/>
      <c r="BE963" s="109"/>
      <c r="BF963" s="111"/>
      <c r="BG963" s="109"/>
      <c r="BH963" s="109"/>
      <c r="BI963" s="110"/>
      <c r="BJ963" s="109"/>
      <c r="BK963" s="111"/>
      <c r="BL963" s="109"/>
      <c r="BM963" s="109"/>
      <c r="BN963" s="110"/>
      <c r="BO963" s="109"/>
      <c r="BP963" s="111"/>
      <c r="BQ963" s="109"/>
      <c r="BR963" s="109"/>
      <c r="BS963" s="110"/>
      <c r="BT963" s="109"/>
      <c r="BU963" s="111"/>
      <c r="BV963" s="109"/>
      <c r="BW963" s="109"/>
      <c r="BX963" s="110"/>
      <c r="BY963" s="109"/>
      <c r="BZ963" s="111"/>
      <c r="CA963" s="109"/>
      <c r="CB963" s="109"/>
      <c r="CC963" s="110"/>
      <c r="CD963" s="109"/>
      <c r="CE963" s="111"/>
      <c r="CF963" s="109"/>
      <c r="CG963" s="109"/>
      <c r="CH963" s="110"/>
      <c r="CI963" s="109"/>
      <c r="CJ963" s="111"/>
      <c r="CK963" s="109"/>
      <c r="CL963" s="109"/>
      <c r="CM963" s="110"/>
      <c r="CN963" s="109"/>
      <c r="CO963" s="111"/>
      <c r="CP963" s="109"/>
      <c r="CQ963" s="109"/>
      <c r="CR963" s="110"/>
      <c r="CS963" s="109"/>
      <c r="CT963" s="111"/>
      <c r="CU963" s="109"/>
      <c r="CV963" s="109"/>
      <c r="CW963" s="110"/>
      <c r="CX963" s="109"/>
      <c r="CY963" s="111"/>
      <c r="CZ963" s="109"/>
      <c r="DA963" s="109"/>
      <c r="DB963" s="110"/>
      <c r="DC963" s="109"/>
      <c r="DD963" s="111"/>
      <c r="DE963" s="109"/>
      <c r="DF963" s="109"/>
      <c r="DG963" s="110"/>
      <c r="DH963" s="109"/>
      <c r="DI963" s="111"/>
      <c r="DJ963" s="109"/>
      <c r="DK963" s="109"/>
      <c r="DL963" s="110"/>
      <c r="DM963" s="109"/>
      <c r="DN963" s="111"/>
      <c r="DO963" s="109"/>
      <c r="DP963" s="109"/>
      <c r="DQ963" s="110"/>
      <c r="DR963" s="109"/>
      <c r="DS963" s="111"/>
      <c r="DT963" s="109"/>
      <c r="DU963" s="109"/>
      <c r="DV963" s="110"/>
      <c r="DW963" s="109"/>
      <c r="DX963" s="111"/>
      <c r="DY963" s="109"/>
      <c r="DZ963" s="109"/>
      <c r="EA963" s="110"/>
      <c r="EB963" s="109"/>
      <c r="EC963" s="111"/>
      <c r="ED963" s="109"/>
      <c r="EE963" s="109"/>
      <c r="EF963" s="110"/>
      <c r="EG963" s="109"/>
      <c r="EH963" s="111"/>
      <c r="EI963" s="109"/>
      <c r="EJ963" s="109"/>
      <c r="EK963" s="110"/>
      <c r="EL963" s="109"/>
      <c r="EM963" s="111"/>
      <c r="EN963" s="109"/>
      <c r="EO963" s="109"/>
      <c r="EP963" s="110"/>
      <c r="EQ963" s="109"/>
      <c r="ER963" s="111"/>
      <c r="ES963" s="109"/>
      <c r="ET963" s="109"/>
      <c r="EU963" s="110"/>
      <c r="EV963" s="109"/>
      <c r="EW963" s="111"/>
      <c r="EX963" s="109"/>
      <c r="EY963" s="109"/>
      <c r="EZ963" s="110"/>
      <c r="FA963" s="109"/>
      <c r="FB963" s="111"/>
      <c r="FC963" s="109"/>
      <c r="FD963" s="109"/>
      <c r="FE963" s="110"/>
      <c r="FF963" s="109"/>
      <c r="FG963" s="111"/>
      <c r="FH963" s="109"/>
      <c r="FI963" s="109"/>
      <c r="FJ963" s="110"/>
      <c r="FK963" s="109"/>
      <c r="FL963" s="111"/>
      <c r="FM963" s="109"/>
      <c r="FN963" s="109"/>
      <c r="FO963" s="110"/>
      <c r="FP963" s="109"/>
      <c r="FQ963" s="111"/>
      <c r="FR963" s="109"/>
      <c r="FS963" s="109"/>
      <c r="FT963" s="110"/>
      <c r="FU963" s="109"/>
      <c r="FV963" s="111"/>
      <c r="FW963" s="109"/>
      <c r="FX963" s="109"/>
      <c r="FY963" s="110"/>
      <c r="FZ963" s="109"/>
      <c r="GA963" s="111"/>
      <c r="GB963" s="109"/>
      <c r="GC963" s="109"/>
      <c r="GD963" s="110"/>
      <c r="GE963" s="109"/>
      <c r="GF963" s="111"/>
      <c r="GG963" s="109"/>
      <c r="GH963" s="109"/>
      <c r="GI963" s="110"/>
      <c r="GJ963" s="109"/>
      <c r="GK963" s="111"/>
      <c r="GL963" s="109"/>
      <c r="GM963" s="109"/>
      <c r="GN963" s="110"/>
      <c r="GO963" s="109"/>
      <c r="GP963" s="111"/>
      <c r="GQ963" s="109"/>
      <c r="GR963" s="109"/>
      <c r="GS963" s="110"/>
      <c r="GT963" s="109"/>
      <c r="GU963" s="111"/>
      <c r="GV963" s="109"/>
      <c r="GW963" s="109"/>
      <c r="GX963" s="110"/>
      <c r="GY963" s="109"/>
      <c r="GZ963" s="111"/>
      <c r="HA963" s="109"/>
      <c r="HB963" s="109"/>
      <c r="HC963" s="110"/>
      <c r="HD963" s="109"/>
      <c r="HE963" s="111"/>
      <c r="HF963" s="109"/>
      <c r="HG963" s="109"/>
      <c r="HH963" s="110"/>
      <c r="HI963" s="109"/>
      <c r="HJ963" s="111"/>
      <c r="HK963" s="109"/>
      <c r="HL963" s="109"/>
      <c r="HM963" s="110"/>
      <c r="HN963" s="109"/>
      <c r="HO963" s="111"/>
      <c r="HP963" s="109"/>
      <c r="HQ963" s="109"/>
      <c r="HR963" s="110"/>
      <c r="HS963" s="109"/>
      <c r="HT963" s="111"/>
      <c r="HU963" s="109"/>
      <c r="HV963" s="109"/>
      <c r="HW963" s="110"/>
      <c r="HX963" s="109"/>
      <c r="HY963" s="111"/>
      <c r="HZ963" s="109"/>
      <c r="IA963" s="109"/>
      <c r="IB963" s="110"/>
      <c r="IC963" s="109"/>
      <c r="ID963" s="111"/>
      <c r="IE963" s="109"/>
      <c r="IF963" s="109"/>
      <c r="IG963" s="110"/>
      <c r="IH963" s="109"/>
      <c r="II963" s="111"/>
      <c r="IJ963" s="109"/>
      <c r="IK963" s="109"/>
      <c r="IL963" s="110"/>
      <c r="IM963" s="109"/>
      <c r="IN963" s="111"/>
      <c r="IO963" s="109"/>
      <c r="IP963" s="109"/>
      <c r="IQ963" s="110"/>
      <c r="IR963" s="109"/>
      <c r="IS963" s="111"/>
      <c r="IT963" s="109"/>
      <c r="IU963" s="109"/>
      <c r="IV963" s="110"/>
    </row>
    <row r="964" spans="1:256" s="123" customFormat="1" ht="14.25">
      <c r="A964" s="134">
        <v>37252</v>
      </c>
      <c r="B964" s="111">
        <v>54.4243</v>
      </c>
      <c r="C964" s="111">
        <f>B964*10^-3</f>
        <v>0.0544243</v>
      </c>
      <c r="D964" s="111">
        <v>32.5266</v>
      </c>
      <c r="E964" s="111">
        <v>36.9705</v>
      </c>
      <c r="F964" s="131"/>
      <c r="G964" s="109"/>
      <c r="H964" s="111"/>
      <c r="I964" s="109"/>
      <c r="J964" s="109"/>
      <c r="K964" s="110"/>
      <c r="L964" s="109"/>
      <c r="M964" s="111"/>
      <c r="N964" s="109"/>
      <c r="O964" s="109"/>
      <c r="P964" s="110"/>
      <c r="Q964" s="109"/>
      <c r="R964" s="111"/>
      <c r="S964" s="109"/>
      <c r="T964" s="109"/>
      <c r="U964" s="110"/>
      <c r="V964" s="109"/>
      <c r="W964" s="111"/>
      <c r="X964" s="109"/>
      <c r="Y964" s="109"/>
      <c r="Z964" s="110"/>
      <c r="AA964" s="109"/>
      <c r="AB964" s="111"/>
      <c r="AC964" s="109"/>
      <c r="AD964" s="109"/>
      <c r="AE964" s="110"/>
      <c r="AF964" s="109"/>
      <c r="AG964" s="111"/>
      <c r="AH964" s="109"/>
      <c r="AI964" s="109"/>
      <c r="AJ964" s="110"/>
      <c r="AK964" s="109"/>
      <c r="AL964" s="111"/>
      <c r="AM964" s="109"/>
      <c r="AN964" s="109"/>
      <c r="AO964" s="110"/>
      <c r="AP964" s="109"/>
      <c r="AQ964" s="111"/>
      <c r="AR964" s="109"/>
      <c r="AS964" s="109"/>
      <c r="AT964" s="110"/>
      <c r="AU964" s="109"/>
      <c r="AV964" s="111"/>
      <c r="AW964" s="109"/>
      <c r="AX964" s="109"/>
      <c r="AY964" s="110"/>
      <c r="AZ964" s="109"/>
      <c r="BA964" s="111"/>
      <c r="BB964" s="109"/>
      <c r="BC964" s="109"/>
      <c r="BD964" s="110"/>
      <c r="BE964" s="109"/>
      <c r="BF964" s="111"/>
      <c r="BG964" s="109"/>
      <c r="BH964" s="109"/>
      <c r="BI964" s="110"/>
      <c r="BJ964" s="109"/>
      <c r="BK964" s="111"/>
      <c r="BL964" s="109"/>
      <c r="BM964" s="109"/>
      <c r="BN964" s="110"/>
      <c r="BO964" s="109"/>
      <c r="BP964" s="111"/>
      <c r="BQ964" s="109"/>
      <c r="BR964" s="109"/>
      <c r="BS964" s="110"/>
      <c r="BT964" s="109"/>
      <c r="BU964" s="111"/>
      <c r="BV964" s="109"/>
      <c r="BW964" s="109"/>
      <c r="BX964" s="110"/>
      <c r="BY964" s="109"/>
      <c r="BZ964" s="111"/>
      <c r="CA964" s="109"/>
      <c r="CB964" s="109"/>
      <c r="CC964" s="110"/>
      <c r="CD964" s="109"/>
      <c r="CE964" s="111"/>
      <c r="CF964" s="109"/>
      <c r="CG964" s="109"/>
      <c r="CH964" s="110"/>
      <c r="CI964" s="109"/>
      <c r="CJ964" s="111"/>
      <c r="CK964" s="109"/>
      <c r="CL964" s="109"/>
      <c r="CM964" s="110"/>
      <c r="CN964" s="109"/>
      <c r="CO964" s="111"/>
      <c r="CP964" s="109"/>
      <c r="CQ964" s="109"/>
      <c r="CR964" s="110"/>
      <c r="CS964" s="109"/>
      <c r="CT964" s="111"/>
      <c r="CU964" s="109"/>
      <c r="CV964" s="109"/>
      <c r="CW964" s="110"/>
      <c r="CX964" s="109"/>
      <c r="CY964" s="111"/>
      <c r="CZ964" s="109"/>
      <c r="DA964" s="109"/>
      <c r="DB964" s="110"/>
      <c r="DC964" s="109"/>
      <c r="DD964" s="111"/>
      <c r="DE964" s="109"/>
      <c r="DF964" s="109"/>
      <c r="DG964" s="110"/>
      <c r="DH964" s="109"/>
      <c r="DI964" s="111"/>
      <c r="DJ964" s="109"/>
      <c r="DK964" s="109"/>
      <c r="DL964" s="110"/>
      <c r="DM964" s="109"/>
      <c r="DN964" s="111"/>
      <c r="DO964" s="109"/>
      <c r="DP964" s="109"/>
      <c r="DQ964" s="110"/>
      <c r="DR964" s="109"/>
      <c r="DS964" s="111"/>
      <c r="DT964" s="109"/>
      <c r="DU964" s="109"/>
      <c r="DV964" s="110"/>
      <c r="DW964" s="109"/>
      <c r="DX964" s="111"/>
      <c r="DY964" s="109"/>
      <c r="DZ964" s="109"/>
      <c r="EA964" s="110"/>
      <c r="EB964" s="109"/>
      <c r="EC964" s="111"/>
      <c r="ED964" s="109"/>
      <c r="EE964" s="109"/>
      <c r="EF964" s="110"/>
      <c r="EG964" s="109"/>
      <c r="EH964" s="111"/>
      <c r="EI964" s="109"/>
      <c r="EJ964" s="109"/>
      <c r="EK964" s="110"/>
      <c r="EL964" s="109"/>
      <c r="EM964" s="111"/>
      <c r="EN964" s="109"/>
      <c r="EO964" s="109"/>
      <c r="EP964" s="110"/>
      <c r="EQ964" s="109"/>
      <c r="ER964" s="111"/>
      <c r="ES964" s="109"/>
      <c r="ET964" s="109"/>
      <c r="EU964" s="110"/>
      <c r="EV964" s="109"/>
      <c r="EW964" s="111"/>
      <c r="EX964" s="109"/>
      <c r="EY964" s="109"/>
      <c r="EZ964" s="110"/>
      <c r="FA964" s="109"/>
      <c r="FB964" s="111"/>
      <c r="FC964" s="109"/>
      <c r="FD964" s="109"/>
      <c r="FE964" s="110"/>
      <c r="FF964" s="109"/>
      <c r="FG964" s="111"/>
      <c r="FH964" s="109"/>
      <c r="FI964" s="109"/>
      <c r="FJ964" s="110"/>
      <c r="FK964" s="109"/>
      <c r="FL964" s="111"/>
      <c r="FM964" s="109"/>
      <c r="FN964" s="109"/>
      <c r="FO964" s="110"/>
      <c r="FP964" s="109"/>
      <c r="FQ964" s="111"/>
      <c r="FR964" s="109"/>
      <c r="FS964" s="109"/>
      <c r="FT964" s="110"/>
      <c r="FU964" s="109"/>
      <c r="FV964" s="111"/>
      <c r="FW964" s="109"/>
      <c r="FX964" s="109"/>
      <c r="FY964" s="110"/>
      <c r="FZ964" s="109"/>
      <c r="GA964" s="111"/>
      <c r="GB964" s="109"/>
      <c r="GC964" s="109"/>
      <c r="GD964" s="110"/>
      <c r="GE964" s="109"/>
      <c r="GF964" s="111"/>
      <c r="GG964" s="109"/>
      <c r="GH964" s="109"/>
      <c r="GI964" s="110"/>
      <c r="GJ964" s="109"/>
      <c r="GK964" s="111"/>
      <c r="GL964" s="109"/>
      <c r="GM964" s="109"/>
      <c r="GN964" s="110"/>
      <c r="GO964" s="109"/>
      <c r="GP964" s="111"/>
      <c r="GQ964" s="109"/>
      <c r="GR964" s="109"/>
      <c r="GS964" s="110"/>
      <c r="GT964" s="109"/>
      <c r="GU964" s="111"/>
      <c r="GV964" s="109"/>
      <c r="GW964" s="109"/>
      <c r="GX964" s="110"/>
      <c r="GY964" s="109"/>
      <c r="GZ964" s="111"/>
      <c r="HA964" s="109"/>
      <c r="HB964" s="109"/>
      <c r="HC964" s="110"/>
      <c r="HD964" s="109"/>
      <c r="HE964" s="111"/>
      <c r="HF964" s="109"/>
      <c r="HG964" s="109"/>
      <c r="HH964" s="110"/>
      <c r="HI964" s="109"/>
      <c r="HJ964" s="111"/>
      <c r="HK964" s="109"/>
      <c r="HL964" s="109"/>
      <c r="HM964" s="110"/>
      <c r="HN964" s="109"/>
      <c r="HO964" s="111"/>
      <c r="HP964" s="109"/>
      <c r="HQ964" s="109"/>
      <c r="HR964" s="110"/>
      <c r="HS964" s="109"/>
      <c r="HT964" s="111"/>
      <c r="HU964" s="109"/>
      <c r="HV964" s="109"/>
      <c r="HW964" s="110"/>
      <c r="HX964" s="109"/>
      <c r="HY964" s="111"/>
      <c r="HZ964" s="109"/>
      <c r="IA964" s="109"/>
      <c r="IB964" s="110"/>
      <c r="IC964" s="109"/>
      <c r="ID964" s="111"/>
      <c r="IE964" s="109"/>
      <c r="IF964" s="109"/>
      <c r="IG964" s="110"/>
      <c r="IH964" s="109"/>
      <c r="II964" s="111"/>
      <c r="IJ964" s="109"/>
      <c r="IK964" s="109"/>
      <c r="IL964" s="110"/>
      <c r="IM964" s="109"/>
      <c r="IN964" s="111"/>
      <c r="IO964" s="109"/>
      <c r="IP964" s="109"/>
      <c r="IQ964" s="110"/>
      <c r="IR964" s="109"/>
      <c r="IS964" s="111"/>
      <c r="IT964" s="109"/>
      <c r="IU964" s="109"/>
      <c r="IV964" s="110"/>
    </row>
    <row r="965" spans="1:256" s="123" customFormat="1" ht="14.25">
      <c r="A965" s="134">
        <v>37253</v>
      </c>
      <c r="B965" s="111">
        <v>47.2524</v>
      </c>
      <c r="C965" s="111">
        <f>B965*10^-3</f>
        <v>0.0472524</v>
      </c>
      <c r="D965" s="111">
        <v>28.103</v>
      </c>
      <c r="E965" s="111">
        <v>31.852</v>
      </c>
      <c r="F965" s="131"/>
      <c r="G965" s="109"/>
      <c r="H965" s="111"/>
      <c r="I965" s="109"/>
      <c r="J965" s="109"/>
      <c r="K965" s="110"/>
      <c r="L965" s="109"/>
      <c r="M965" s="111"/>
      <c r="N965" s="109"/>
      <c r="O965" s="109"/>
      <c r="P965" s="110"/>
      <c r="Q965" s="109"/>
      <c r="R965" s="111"/>
      <c r="S965" s="109"/>
      <c r="T965" s="109"/>
      <c r="U965" s="110"/>
      <c r="V965" s="109"/>
      <c r="W965" s="111"/>
      <c r="X965" s="109"/>
      <c r="Y965" s="109"/>
      <c r="Z965" s="110"/>
      <c r="AA965" s="109"/>
      <c r="AB965" s="111"/>
      <c r="AC965" s="109"/>
      <c r="AD965" s="109"/>
      <c r="AE965" s="110"/>
      <c r="AF965" s="109"/>
      <c r="AG965" s="111"/>
      <c r="AH965" s="109"/>
      <c r="AI965" s="109"/>
      <c r="AJ965" s="110"/>
      <c r="AK965" s="109"/>
      <c r="AL965" s="111"/>
      <c r="AM965" s="109"/>
      <c r="AN965" s="109"/>
      <c r="AO965" s="110"/>
      <c r="AP965" s="109"/>
      <c r="AQ965" s="111"/>
      <c r="AR965" s="109"/>
      <c r="AS965" s="109"/>
      <c r="AT965" s="110"/>
      <c r="AU965" s="109"/>
      <c r="AV965" s="111"/>
      <c r="AW965" s="109"/>
      <c r="AX965" s="109"/>
      <c r="AY965" s="110"/>
      <c r="AZ965" s="109"/>
      <c r="BA965" s="111"/>
      <c r="BB965" s="109"/>
      <c r="BC965" s="109"/>
      <c r="BD965" s="110"/>
      <c r="BE965" s="109"/>
      <c r="BF965" s="111"/>
      <c r="BG965" s="109"/>
      <c r="BH965" s="109"/>
      <c r="BI965" s="110"/>
      <c r="BJ965" s="109"/>
      <c r="BK965" s="111"/>
      <c r="BL965" s="109"/>
      <c r="BM965" s="109"/>
      <c r="BN965" s="110"/>
      <c r="BO965" s="109"/>
      <c r="BP965" s="111"/>
      <c r="BQ965" s="109"/>
      <c r="BR965" s="109"/>
      <c r="BS965" s="110"/>
      <c r="BT965" s="109"/>
      <c r="BU965" s="111"/>
      <c r="BV965" s="109"/>
      <c r="BW965" s="109"/>
      <c r="BX965" s="110"/>
      <c r="BY965" s="109"/>
      <c r="BZ965" s="111"/>
      <c r="CA965" s="109"/>
      <c r="CB965" s="109"/>
      <c r="CC965" s="110"/>
      <c r="CD965" s="109"/>
      <c r="CE965" s="111"/>
      <c r="CF965" s="109"/>
      <c r="CG965" s="109"/>
      <c r="CH965" s="110"/>
      <c r="CI965" s="109"/>
      <c r="CJ965" s="111"/>
      <c r="CK965" s="109"/>
      <c r="CL965" s="109"/>
      <c r="CM965" s="110"/>
      <c r="CN965" s="109"/>
      <c r="CO965" s="111"/>
      <c r="CP965" s="109"/>
      <c r="CQ965" s="109"/>
      <c r="CR965" s="110"/>
      <c r="CS965" s="109"/>
      <c r="CT965" s="111"/>
      <c r="CU965" s="109"/>
      <c r="CV965" s="109"/>
      <c r="CW965" s="110"/>
      <c r="CX965" s="109"/>
      <c r="CY965" s="111"/>
      <c r="CZ965" s="109"/>
      <c r="DA965" s="109"/>
      <c r="DB965" s="110"/>
      <c r="DC965" s="109"/>
      <c r="DD965" s="111"/>
      <c r="DE965" s="109"/>
      <c r="DF965" s="109"/>
      <c r="DG965" s="110"/>
      <c r="DH965" s="109"/>
      <c r="DI965" s="111"/>
      <c r="DJ965" s="109"/>
      <c r="DK965" s="109"/>
      <c r="DL965" s="110"/>
      <c r="DM965" s="109"/>
      <c r="DN965" s="111"/>
      <c r="DO965" s="109"/>
      <c r="DP965" s="109"/>
      <c r="DQ965" s="110"/>
      <c r="DR965" s="109"/>
      <c r="DS965" s="111"/>
      <c r="DT965" s="109"/>
      <c r="DU965" s="109"/>
      <c r="DV965" s="110"/>
      <c r="DW965" s="109"/>
      <c r="DX965" s="111"/>
      <c r="DY965" s="109"/>
      <c r="DZ965" s="109"/>
      <c r="EA965" s="110"/>
      <c r="EB965" s="109"/>
      <c r="EC965" s="111"/>
      <c r="ED965" s="109"/>
      <c r="EE965" s="109"/>
      <c r="EF965" s="110"/>
      <c r="EG965" s="109"/>
      <c r="EH965" s="111"/>
      <c r="EI965" s="109"/>
      <c r="EJ965" s="109"/>
      <c r="EK965" s="110"/>
      <c r="EL965" s="109"/>
      <c r="EM965" s="111"/>
      <c r="EN965" s="109"/>
      <c r="EO965" s="109"/>
      <c r="EP965" s="110"/>
      <c r="EQ965" s="109"/>
      <c r="ER965" s="111"/>
      <c r="ES965" s="109"/>
      <c r="ET965" s="109"/>
      <c r="EU965" s="110"/>
      <c r="EV965" s="109"/>
      <c r="EW965" s="111"/>
      <c r="EX965" s="109"/>
      <c r="EY965" s="109"/>
      <c r="EZ965" s="110"/>
      <c r="FA965" s="109"/>
      <c r="FB965" s="111"/>
      <c r="FC965" s="109"/>
      <c r="FD965" s="109"/>
      <c r="FE965" s="110"/>
      <c r="FF965" s="109"/>
      <c r="FG965" s="111"/>
      <c r="FH965" s="109"/>
      <c r="FI965" s="109"/>
      <c r="FJ965" s="110"/>
      <c r="FK965" s="109"/>
      <c r="FL965" s="111"/>
      <c r="FM965" s="109"/>
      <c r="FN965" s="109"/>
      <c r="FO965" s="110"/>
      <c r="FP965" s="109"/>
      <c r="FQ965" s="111"/>
      <c r="FR965" s="109"/>
      <c r="FS965" s="109"/>
      <c r="FT965" s="110"/>
      <c r="FU965" s="109"/>
      <c r="FV965" s="111"/>
      <c r="FW965" s="109"/>
      <c r="FX965" s="109"/>
      <c r="FY965" s="110"/>
      <c r="FZ965" s="109"/>
      <c r="GA965" s="111"/>
      <c r="GB965" s="109"/>
      <c r="GC965" s="109"/>
      <c r="GD965" s="110"/>
      <c r="GE965" s="109"/>
      <c r="GF965" s="111"/>
      <c r="GG965" s="109"/>
      <c r="GH965" s="109"/>
      <c r="GI965" s="110"/>
      <c r="GJ965" s="109"/>
      <c r="GK965" s="111"/>
      <c r="GL965" s="109"/>
      <c r="GM965" s="109"/>
      <c r="GN965" s="110"/>
      <c r="GO965" s="109"/>
      <c r="GP965" s="111"/>
      <c r="GQ965" s="109"/>
      <c r="GR965" s="109"/>
      <c r="GS965" s="110"/>
      <c r="GT965" s="109"/>
      <c r="GU965" s="111"/>
      <c r="GV965" s="109"/>
      <c r="GW965" s="109"/>
      <c r="GX965" s="110"/>
      <c r="GY965" s="109"/>
      <c r="GZ965" s="111"/>
      <c r="HA965" s="109"/>
      <c r="HB965" s="109"/>
      <c r="HC965" s="110"/>
      <c r="HD965" s="109"/>
      <c r="HE965" s="111"/>
      <c r="HF965" s="109"/>
      <c r="HG965" s="109"/>
      <c r="HH965" s="110"/>
      <c r="HI965" s="109"/>
      <c r="HJ965" s="111"/>
      <c r="HK965" s="109"/>
      <c r="HL965" s="109"/>
      <c r="HM965" s="110"/>
      <c r="HN965" s="109"/>
      <c r="HO965" s="111"/>
      <c r="HP965" s="109"/>
      <c r="HQ965" s="109"/>
      <c r="HR965" s="110"/>
      <c r="HS965" s="109"/>
      <c r="HT965" s="111"/>
      <c r="HU965" s="109"/>
      <c r="HV965" s="109"/>
      <c r="HW965" s="110"/>
      <c r="HX965" s="109"/>
      <c r="HY965" s="111"/>
      <c r="HZ965" s="109"/>
      <c r="IA965" s="109"/>
      <c r="IB965" s="110"/>
      <c r="IC965" s="109"/>
      <c r="ID965" s="111"/>
      <c r="IE965" s="109"/>
      <c r="IF965" s="109"/>
      <c r="IG965" s="110"/>
      <c r="IH965" s="109"/>
      <c r="II965" s="111"/>
      <c r="IJ965" s="109"/>
      <c r="IK965" s="109"/>
      <c r="IL965" s="110"/>
      <c r="IM965" s="109"/>
      <c r="IN965" s="111"/>
      <c r="IO965" s="109"/>
      <c r="IP965" s="109"/>
      <c r="IQ965" s="110"/>
      <c r="IR965" s="109"/>
      <c r="IS965" s="111"/>
      <c r="IT965" s="109"/>
      <c r="IU965" s="109"/>
      <c r="IV965" s="110"/>
    </row>
    <row r="966" spans="1:256" s="123" customFormat="1" ht="14.25">
      <c r="A966" s="134">
        <v>37256</v>
      </c>
      <c r="B966" s="111">
        <v>38.3159</v>
      </c>
      <c r="C966" s="111">
        <f>B966*10^-3</f>
        <v>0.0383159</v>
      </c>
      <c r="D966" s="111">
        <v>22.7715</v>
      </c>
      <c r="E966" s="111">
        <v>25.8385</v>
      </c>
      <c r="F966" s="131"/>
      <c r="G966" s="109"/>
      <c r="H966" s="111"/>
      <c r="I966" s="109"/>
      <c r="J966" s="109"/>
      <c r="K966" s="110"/>
      <c r="L966" s="109"/>
      <c r="M966" s="111"/>
      <c r="N966" s="109"/>
      <c r="O966" s="109"/>
      <c r="P966" s="110"/>
      <c r="Q966" s="109"/>
      <c r="R966" s="111"/>
      <c r="S966" s="109"/>
      <c r="T966" s="109"/>
      <c r="U966" s="110"/>
      <c r="V966" s="109"/>
      <c r="W966" s="111"/>
      <c r="X966" s="109"/>
      <c r="Y966" s="109"/>
      <c r="Z966" s="110"/>
      <c r="AA966" s="109"/>
      <c r="AB966" s="111"/>
      <c r="AC966" s="109"/>
      <c r="AD966" s="109"/>
      <c r="AE966" s="110"/>
      <c r="AF966" s="109"/>
      <c r="AG966" s="111"/>
      <c r="AH966" s="109"/>
      <c r="AI966" s="109"/>
      <c r="AJ966" s="110"/>
      <c r="AK966" s="109"/>
      <c r="AL966" s="111"/>
      <c r="AM966" s="109"/>
      <c r="AN966" s="109"/>
      <c r="AO966" s="110"/>
      <c r="AP966" s="109"/>
      <c r="AQ966" s="111"/>
      <c r="AR966" s="109"/>
      <c r="AS966" s="109"/>
      <c r="AT966" s="110"/>
      <c r="AU966" s="109"/>
      <c r="AV966" s="111"/>
      <c r="AW966" s="109"/>
      <c r="AX966" s="109"/>
      <c r="AY966" s="110"/>
      <c r="AZ966" s="109"/>
      <c r="BA966" s="111"/>
      <c r="BB966" s="109"/>
      <c r="BC966" s="109"/>
      <c r="BD966" s="110"/>
      <c r="BE966" s="109"/>
      <c r="BF966" s="111"/>
      <c r="BG966" s="109"/>
      <c r="BH966" s="109"/>
      <c r="BI966" s="110"/>
      <c r="BJ966" s="109"/>
      <c r="BK966" s="111"/>
      <c r="BL966" s="109"/>
      <c r="BM966" s="109"/>
      <c r="BN966" s="110"/>
      <c r="BO966" s="109"/>
      <c r="BP966" s="111"/>
      <c r="BQ966" s="109"/>
      <c r="BR966" s="109"/>
      <c r="BS966" s="110"/>
      <c r="BT966" s="109"/>
      <c r="BU966" s="111"/>
      <c r="BV966" s="109"/>
      <c r="BW966" s="109"/>
      <c r="BX966" s="110"/>
      <c r="BY966" s="109"/>
      <c r="BZ966" s="111"/>
      <c r="CA966" s="109"/>
      <c r="CB966" s="109"/>
      <c r="CC966" s="110"/>
      <c r="CD966" s="109"/>
      <c r="CE966" s="111"/>
      <c r="CF966" s="109"/>
      <c r="CG966" s="109"/>
      <c r="CH966" s="110"/>
      <c r="CI966" s="109"/>
      <c r="CJ966" s="111"/>
      <c r="CK966" s="109"/>
      <c r="CL966" s="109"/>
      <c r="CM966" s="110"/>
      <c r="CN966" s="109"/>
      <c r="CO966" s="111"/>
      <c r="CP966" s="109"/>
      <c r="CQ966" s="109"/>
      <c r="CR966" s="110"/>
      <c r="CS966" s="109"/>
      <c r="CT966" s="111"/>
      <c r="CU966" s="109"/>
      <c r="CV966" s="109"/>
      <c r="CW966" s="110"/>
      <c r="CX966" s="109"/>
      <c r="CY966" s="111"/>
      <c r="CZ966" s="109"/>
      <c r="DA966" s="109"/>
      <c r="DB966" s="110"/>
      <c r="DC966" s="109"/>
      <c r="DD966" s="111"/>
      <c r="DE966" s="109"/>
      <c r="DF966" s="109"/>
      <c r="DG966" s="110"/>
      <c r="DH966" s="109"/>
      <c r="DI966" s="111"/>
      <c r="DJ966" s="109"/>
      <c r="DK966" s="109"/>
      <c r="DL966" s="110"/>
      <c r="DM966" s="109"/>
      <c r="DN966" s="111"/>
      <c r="DO966" s="109"/>
      <c r="DP966" s="109"/>
      <c r="DQ966" s="110"/>
      <c r="DR966" s="109"/>
      <c r="DS966" s="111"/>
      <c r="DT966" s="109"/>
      <c r="DU966" s="109"/>
      <c r="DV966" s="110"/>
      <c r="DW966" s="109"/>
      <c r="DX966" s="111"/>
      <c r="DY966" s="109"/>
      <c r="DZ966" s="109"/>
      <c r="EA966" s="110"/>
      <c r="EB966" s="109"/>
      <c r="EC966" s="111"/>
      <c r="ED966" s="109"/>
      <c r="EE966" s="109"/>
      <c r="EF966" s="110"/>
      <c r="EG966" s="109"/>
      <c r="EH966" s="111"/>
      <c r="EI966" s="109"/>
      <c r="EJ966" s="109"/>
      <c r="EK966" s="110"/>
      <c r="EL966" s="109"/>
      <c r="EM966" s="111"/>
      <c r="EN966" s="109"/>
      <c r="EO966" s="109"/>
      <c r="EP966" s="110"/>
      <c r="EQ966" s="109"/>
      <c r="ER966" s="111"/>
      <c r="ES966" s="109"/>
      <c r="ET966" s="109"/>
      <c r="EU966" s="110"/>
      <c r="EV966" s="109"/>
      <c r="EW966" s="111"/>
      <c r="EX966" s="109"/>
      <c r="EY966" s="109"/>
      <c r="EZ966" s="110"/>
      <c r="FA966" s="109"/>
      <c r="FB966" s="111"/>
      <c r="FC966" s="109"/>
      <c r="FD966" s="109"/>
      <c r="FE966" s="110"/>
      <c r="FF966" s="109"/>
      <c r="FG966" s="111"/>
      <c r="FH966" s="109"/>
      <c r="FI966" s="109"/>
      <c r="FJ966" s="110"/>
      <c r="FK966" s="109"/>
      <c r="FL966" s="111"/>
      <c r="FM966" s="109"/>
      <c r="FN966" s="109"/>
      <c r="FO966" s="110"/>
      <c r="FP966" s="109"/>
      <c r="FQ966" s="111"/>
      <c r="FR966" s="109"/>
      <c r="FS966" s="109"/>
      <c r="FT966" s="110"/>
      <c r="FU966" s="109"/>
      <c r="FV966" s="111"/>
      <c r="FW966" s="109"/>
      <c r="FX966" s="109"/>
      <c r="FY966" s="110"/>
      <c r="FZ966" s="109"/>
      <c r="GA966" s="111"/>
      <c r="GB966" s="109"/>
      <c r="GC966" s="109"/>
      <c r="GD966" s="110"/>
      <c r="GE966" s="109"/>
      <c r="GF966" s="111"/>
      <c r="GG966" s="109"/>
      <c r="GH966" s="109"/>
      <c r="GI966" s="110"/>
      <c r="GJ966" s="109"/>
      <c r="GK966" s="111"/>
      <c r="GL966" s="109"/>
      <c r="GM966" s="109"/>
      <c r="GN966" s="110"/>
      <c r="GO966" s="109"/>
      <c r="GP966" s="111"/>
      <c r="GQ966" s="109"/>
      <c r="GR966" s="109"/>
      <c r="GS966" s="110"/>
      <c r="GT966" s="109"/>
      <c r="GU966" s="111"/>
      <c r="GV966" s="109"/>
      <c r="GW966" s="109"/>
      <c r="GX966" s="110"/>
      <c r="GY966" s="109"/>
      <c r="GZ966" s="111"/>
      <c r="HA966" s="109"/>
      <c r="HB966" s="109"/>
      <c r="HC966" s="110"/>
      <c r="HD966" s="109"/>
      <c r="HE966" s="111"/>
      <c r="HF966" s="109"/>
      <c r="HG966" s="109"/>
      <c r="HH966" s="110"/>
      <c r="HI966" s="109"/>
      <c r="HJ966" s="111"/>
      <c r="HK966" s="109"/>
      <c r="HL966" s="109"/>
      <c r="HM966" s="110"/>
      <c r="HN966" s="109"/>
      <c r="HO966" s="111"/>
      <c r="HP966" s="109"/>
      <c r="HQ966" s="109"/>
      <c r="HR966" s="110"/>
      <c r="HS966" s="109"/>
      <c r="HT966" s="111"/>
      <c r="HU966" s="109"/>
      <c r="HV966" s="109"/>
      <c r="HW966" s="110"/>
      <c r="HX966" s="109"/>
      <c r="HY966" s="111"/>
      <c r="HZ966" s="109"/>
      <c r="IA966" s="109"/>
      <c r="IB966" s="110"/>
      <c r="IC966" s="109"/>
      <c r="ID966" s="111"/>
      <c r="IE966" s="109"/>
      <c r="IF966" s="109"/>
      <c r="IG966" s="110"/>
      <c r="IH966" s="109"/>
      <c r="II966" s="111"/>
      <c r="IJ966" s="109"/>
      <c r="IK966" s="109"/>
      <c r="IL966" s="110"/>
      <c r="IM966" s="109"/>
      <c r="IN966" s="111"/>
      <c r="IO966" s="109"/>
      <c r="IP966" s="109"/>
      <c r="IQ966" s="110"/>
      <c r="IR966" s="109"/>
      <c r="IS966" s="111"/>
      <c r="IT966" s="109"/>
      <c r="IU966" s="109"/>
      <c r="IV966" s="110"/>
    </row>
    <row r="967" spans="1:256" s="123" customFormat="1" ht="14.25">
      <c r="A967" s="134">
        <v>37256</v>
      </c>
      <c r="B967" s="111">
        <v>38.3159</v>
      </c>
      <c r="C967" s="111">
        <f aca="true" t="shared" si="16" ref="C967:C1030">B967*10^-3</f>
        <v>0.0383159</v>
      </c>
      <c r="D967" s="111">
        <v>22.7715</v>
      </c>
      <c r="E967" s="111">
        <v>25.8385</v>
      </c>
      <c r="F967" s="131"/>
      <c r="G967" s="109"/>
      <c r="H967" s="111"/>
      <c r="I967" s="109"/>
      <c r="J967" s="109"/>
      <c r="K967" s="109"/>
      <c r="L967" s="110"/>
      <c r="M967" s="109"/>
      <c r="N967" s="111"/>
      <c r="O967" s="109"/>
      <c r="P967" s="109"/>
      <c r="Q967" s="110"/>
      <c r="R967" s="109"/>
      <c r="S967" s="111"/>
      <c r="T967" s="109"/>
      <c r="U967" s="109"/>
      <c r="V967" s="110"/>
      <c r="W967" s="109"/>
      <c r="X967" s="111"/>
      <c r="Y967" s="109"/>
      <c r="Z967" s="109"/>
      <c r="AA967" s="110"/>
      <c r="AB967" s="109"/>
      <c r="AC967" s="111"/>
      <c r="AD967" s="109"/>
      <c r="AE967" s="109"/>
      <c r="AF967" s="110"/>
      <c r="AG967" s="109"/>
      <c r="AH967" s="111"/>
      <c r="AI967" s="109"/>
      <c r="AJ967" s="109"/>
      <c r="AK967" s="110"/>
      <c r="AL967" s="109"/>
      <c r="AM967" s="111"/>
      <c r="AN967" s="109"/>
      <c r="AO967" s="109"/>
      <c r="AP967" s="110"/>
      <c r="AQ967" s="109"/>
      <c r="AR967" s="111"/>
      <c r="AS967" s="109"/>
      <c r="AT967" s="109"/>
      <c r="AU967" s="110"/>
      <c r="AV967" s="109"/>
      <c r="AW967" s="111"/>
      <c r="AX967" s="109"/>
      <c r="AY967" s="109"/>
      <c r="AZ967" s="110"/>
      <c r="BA967" s="109"/>
      <c r="BB967" s="111"/>
      <c r="BC967" s="109"/>
      <c r="BD967" s="109"/>
      <c r="BE967" s="110"/>
      <c r="BF967" s="109"/>
      <c r="BG967" s="111"/>
      <c r="BH967" s="109"/>
      <c r="BI967" s="109"/>
      <c r="BJ967" s="110"/>
      <c r="BK967" s="109"/>
      <c r="BL967" s="111"/>
      <c r="BM967" s="109"/>
      <c r="BN967" s="109"/>
      <c r="BO967" s="110"/>
      <c r="BP967" s="109"/>
      <c r="BQ967" s="111"/>
      <c r="BR967" s="109"/>
      <c r="BS967" s="109"/>
      <c r="BT967" s="110"/>
      <c r="BU967" s="109"/>
      <c r="BV967" s="111"/>
      <c r="BW967" s="109"/>
      <c r="BX967" s="109"/>
      <c r="BY967" s="110"/>
      <c r="BZ967" s="109"/>
      <c r="CA967" s="111"/>
      <c r="CB967" s="109"/>
      <c r="CC967" s="109"/>
      <c r="CD967" s="110"/>
      <c r="CE967" s="109"/>
      <c r="CF967" s="111"/>
      <c r="CG967" s="109"/>
      <c r="CH967" s="109"/>
      <c r="CI967" s="110"/>
      <c r="CJ967" s="109"/>
      <c r="CK967" s="111"/>
      <c r="CL967" s="109"/>
      <c r="CM967" s="109"/>
      <c r="CN967" s="110"/>
      <c r="CO967" s="109"/>
      <c r="CP967" s="111"/>
      <c r="CQ967" s="109"/>
      <c r="CR967" s="109"/>
      <c r="CS967" s="110"/>
      <c r="CT967" s="109"/>
      <c r="CU967" s="111"/>
      <c r="CV967" s="109"/>
      <c r="CW967" s="109"/>
      <c r="CX967" s="110"/>
      <c r="CY967" s="109"/>
      <c r="CZ967" s="111"/>
      <c r="DA967" s="109"/>
      <c r="DB967" s="109"/>
      <c r="DC967" s="110"/>
      <c r="DD967" s="109"/>
      <c r="DE967" s="111"/>
      <c r="DF967" s="109"/>
      <c r="DG967" s="109"/>
      <c r="DH967" s="110"/>
      <c r="DI967" s="109"/>
      <c r="DJ967" s="111"/>
      <c r="DK967" s="109"/>
      <c r="DL967" s="109"/>
      <c r="DM967" s="110"/>
      <c r="DN967" s="109"/>
      <c r="DO967" s="111"/>
      <c r="DP967" s="109"/>
      <c r="DQ967" s="109"/>
      <c r="DR967" s="110"/>
      <c r="DS967" s="109"/>
      <c r="DT967" s="111"/>
      <c r="DU967" s="109"/>
      <c r="DV967" s="109"/>
      <c r="DW967" s="110"/>
      <c r="DX967" s="109"/>
      <c r="DY967" s="111"/>
      <c r="DZ967" s="109"/>
      <c r="EA967" s="109"/>
      <c r="EB967" s="110"/>
      <c r="EC967" s="109"/>
      <c r="ED967" s="111"/>
      <c r="EE967" s="109"/>
      <c r="EF967" s="109"/>
      <c r="EG967" s="110"/>
      <c r="EH967" s="109"/>
      <c r="EI967" s="111"/>
      <c r="EJ967" s="109"/>
      <c r="EK967" s="109"/>
      <c r="EL967" s="110"/>
      <c r="EM967" s="109"/>
      <c r="EN967" s="111"/>
      <c r="EO967" s="109"/>
      <c r="EP967" s="109"/>
      <c r="EQ967" s="110"/>
      <c r="ER967" s="109"/>
      <c r="ES967" s="111"/>
      <c r="ET967" s="109"/>
      <c r="EU967" s="109"/>
      <c r="EV967" s="110"/>
      <c r="EW967" s="109"/>
      <c r="EX967" s="111"/>
      <c r="EY967" s="109"/>
      <c r="EZ967" s="109"/>
      <c r="FA967" s="110"/>
      <c r="FB967" s="109"/>
      <c r="FC967" s="111"/>
      <c r="FD967" s="109"/>
      <c r="FE967" s="109"/>
      <c r="FF967" s="110"/>
      <c r="FG967" s="109"/>
      <c r="FH967" s="111"/>
      <c r="FI967" s="109"/>
      <c r="FJ967" s="109"/>
      <c r="FK967" s="110"/>
      <c r="FL967" s="109"/>
      <c r="FM967" s="111"/>
      <c r="FN967" s="109"/>
      <c r="FO967" s="109"/>
      <c r="FP967" s="110"/>
      <c r="FQ967" s="109"/>
      <c r="FR967" s="111"/>
      <c r="FS967" s="109"/>
      <c r="FT967" s="109"/>
      <c r="FU967" s="110"/>
      <c r="FV967" s="109"/>
      <c r="FW967" s="111"/>
      <c r="FX967" s="109"/>
      <c r="FY967" s="109"/>
      <c r="FZ967" s="110"/>
      <c r="GA967" s="109"/>
      <c r="GB967" s="111"/>
      <c r="GC967" s="109"/>
      <c r="GD967" s="109"/>
      <c r="GE967" s="110"/>
      <c r="GF967" s="109"/>
      <c r="GG967" s="111"/>
      <c r="GH967" s="109"/>
      <c r="GI967" s="109"/>
      <c r="GJ967" s="110"/>
      <c r="GK967" s="109"/>
      <c r="GL967" s="111"/>
      <c r="GM967" s="109"/>
      <c r="GN967" s="109"/>
      <c r="GO967" s="110"/>
      <c r="GP967" s="109"/>
      <c r="GQ967" s="111"/>
      <c r="GR967" s="109"/>
      <c r="GS967" s="109"/>
      <c r="GT967" s="110"/>
      <c r="GU967" s="109"/>
      <c r="GV967" s="111"/>
      <c r="GW967" s="109"/>
      <c r="GX967" s="109"/>
      <c r="GY967" s="110"/>
      <c r="GZ967" s="109"/>
      <c r="HA967" s="111"/>
      <c r="HB967" s="109"/>
      <c r="HC967" s="109"/>
      <c r="HD967" s="110"/>
      <c r="HE967" s="109"/>
      <c r="HF967" s="111"/>
      <c r="HG967" s="109"/>
      <c r="HH967" s="109"/>
      <c r="HI967" s="110"/>
      <c r="HJ967" s="109"/>
      <c r="HK967" s="111"/>
      <c r="HL967" s="109"/>
      <c r="HM967" s="109"/>
      <c r="HN967" s="110"/>
      <c r="HO967" s="109"/>
      <c r="HP967" s="111"/>
      <c r="HQ967" s="109"/>
      <c r="HR967" s="109"/>
      <c r="HS967" s="110"/>
      <c r="HT967" s="109"/>
      <c r="HU967" s="111"/>
      <c r="HV967" s="109"/>
      <c r="HW967" s="109"/>
      <c r="HX967" s="110"/>
      <c r="HY967" s="109"/>
      <c r="HZ967" s="111"/>
      <c r="IA967" s="109"/>
      <c r="IB967" s="109"/>
      <c r="IC967" s="110"/>
      <c r="ID967" s="109"/>
      <c r="IE967" s="111"/>
      <c r="IF967" s="109"/>
      <c r="IG967" s="109"/>
      <c r="IH967" s="110"/>
      <c r="II967" s="109"/>
      <c r="IJ967" s="111"/>
      <c r="IK967" s="109"/>
      <c r="IL967" s="109"/>
      <c r="IM967" s="110"/>
      <c r="IN967" s="109"/>
      <c r="IO967" s="111"/>
      <c r="IP967" s="109"/>
      <c r="IQ967" s="109"/>
      <c r="IR967" s="110"/>
      <c r="IS967" s="109"/>
      <c r="IT967" s="111"/>
      <c r="IU967" s="109"/>
      <c r="IV967" s="109"/>
    </row>
    <row r="968" spans="1:256" s="123" customFormat="1" ht="14.25">
      <c r="A968" s="134">
        <v>37258</v>
      </c>
      <c r="B968" s="111">
        <v>51.7139</v>
      </c>
      <c r="C968" s="111">
        <f t="shared" si="16"/>
        <v>0.0517139</v>
      </c>
      <c r="D968" s="111">
        <v>30.734</v>
      </c>
      <c r="E968" s="111">
        <v>34.8735</v>
      </c>
      <c r="F968" s="132"/>
      <c r="G968" s="109"/>
      <c r="H968" s="111"/>
      <c r="I968" s="109"/>
      <c r="J968" s="109"/>
      <c r="K968" s="109"/>
      <c r="L968" s="110"/>
      <c r="M968" s="109"/>
      <c r="N968" s="111"/>
      <c r="O968" s="109"/>
      <c r="P968" s="109"/>
      <c r="Q968" s="110"/>
      <c r="R968" s="109"/>
      <c r="S968" s="111"/>
      <c r="T968" s="109"/>
      <c r="U968" s="109"/>
      <c r="V968" s="110"/>
      <c r="W968" s="109"/>
      <c r="X968" s="111"/>
      <c r="Y968" s="109"/>
      <c r="Z968" s="109"/>
      <c r="AA968" s="110"/>
      <c r="AB968" s="109"/>
      <c r="AC968" s="111"/>
      <c r="AD968" s="109"/>
      <c r="AE968" s="109"/>
      <c r="AF968" s="110"/>
      <c r="AG968" s="109"/>
      <c r="AH968" s="111"/>
      <c r="AI968" s="109"/>
      <c r="AJ968" s="109"/>
      <c r="AK968" s="110"/>
      <c r="AL968" s="109"/>
      <c r="AM968" s="111"/>
      <c r="AN968" s="109"/>
      <c r="AO968" s="109"/>
      <c r="AP968" s="110"/>
      <c r="AQ968" s="109"/>
      <c r="AR968" s="111"/>
      <c r="AS968" s="109"/>
      <c r="AT968" s="109"/>
      <c r="AU968" s="110"/>
      <c r="AV968" s="109"/>
      <c r="AW968" s="111"/>
      <c r="AX968" s="109"/>
      <c r="AY968" s="109"/>
      <c r="AZ968" s="110"/>
      <c r="BA968" s="109"/>
      <c r="BB968" s="111"/>
      <c r="BC968" s="109"/>
      <c r="BD968" s="109"/>
      <c r="BE968" s="110"/>
      <c r="BF968" s="109"/>
      <c r="BG968" s="111"/>
      <c r="BH968" s="109"/>
      <c r="BI968" s="109"/>
      <c r="BJ968" s="110"/>
      <c r="BK968" s="109"/>
      <c r="BL968" s="111"/>
      <c r="BM968" s="109"/>
      <c r="BN968" s="109"/>
      <c r="BO968" s="110"/>
      <c r="BP968" s="109"/>
      <c r="BQ968" s="111"/>
      <c r="BR968" s="109"/>
      <c r="BS968" s="109"/>
      <c r="BT968" s="110"/>
      <c r="BU968" s="109"/>
      <c r="BV968" s="111"/>
      <c r="BW968" s="109"/>
      <c r="BX968" s="109"/>
      <c r="BY968" s="110"/>
      <c r="BZ968" s="109"/>
      <c r="CA968" s="111"/>
      <c r="CB968" s="109"/>
      <c r="CC968" s="109"/>
      <c r="CD968" s="110"/>
      <c r="CE968" s="109"/>
      <c r="CF968" s="111"/>
      <c r="CG968" s="109"/>
      <c r="CH968" s="109"/>
      <c r="CI968" s="110"/>
      <c r="CJ968" s="109"/>
      <c r="CK968" s="111"/>
      <c r="CL968" s="109"/>
      <c r="CM968" s="109"/>
      <c r="CN968" s="110"/>
      <c r="CO968" s="109"/>
      <c r="CP968" s="111"/>
      <c r="CQ968" s="109"/>
      <c r="CR968" s="109"/>
      <c r="CS968" s="110"/>
      <c r="CT968" s="109"/>
      <c r="CU968" s="111"/>
      <c r="CV968" s="109"/>
      <c r="CW968" s="109"/>
      <c r="CX968" s="110"/>
      <c r="CY968" s="109"/>
      <c r="CZ968" s="111"/>
      <c r="DA968" s="109"/>
      <c r="DB968" s="109"/>
      <c r="DC968" s="110"/>
      <c r="DD968" s="109"/>
      <c r="DE968" s="111"/>
      <c r="DF968" s="109"/>
      <c r="DG968" s="109"/>
      <c r="DH968" s="110"/>
      <c r="DI968" s="109"/>
      <c r="DJ968" s="111"/>
      <c r="DK968" s="109"/>
      <c r="DL968" s="109"/>
      <c r="DM968" s="110"/>
      <c r="DN968" s="109"/>
      <c r="DO968" s="111"/>
      <c r="DP968" s="109"/>
      <c r="DQ968" s="109"/>
      <c r="DR968" s="110"/>
      <c r="DS968" s="109"/>
      <c r="DT968" s="111"/>
      <c r="DU968" s="109"/>
      <c r="DV968" s="109"/>
      <c r="DW968" s="110"/>
      <c r="DX968" s="109"/>
      <c r="DY968" s="111"/>
      <c r="DZ968" s="109"/>
      <c r="EA968" s="109"/>
      <c r="EB968" s="110"/>
      <c r="EC968" s="109"/>
      <c r="ED968" s="111"/>
      <c r="EE968" s="109"/>
      <c r="EF968" s="109"/>
      <c r="EG968" s="110"/>
      <c r="EH968" s="109"/>
      <c r="EI968" s="111"/>
      <c r="EJ968" s="109"/>
      <c r="EK968" s="109"/>
      <c r="EL968" s="110"/>
      <c r="EM968" s="109"/>
      <c r="EN968" s="111"/>
      <c r="EO968" s="109"/>
      <c r="EP968" s="109"/>
      <c r="EQ968" s="110"/>
      <c r="ER968" s="109"/>
      <c r="ES968" s="111"/>
      <c r="ET968" s="109"/>
      <c r="EU968" s="109"/>
      <c r="EV968" s="110"/>
      <c r="EW968" s="109"/>
      <c r="EX968" s="111"/>
      <c r="EY968" s="109"/>
      <c r="EZ968" s="109"/>
      <c r="FA968" s="110"/>
      <c r="FB968" s="109"/>
      <c r="FC968" s="111"/>
      <c r="FD968" s="109"/>
      <c r="FE968" s="109"/>
      <c r="FF968" s="110"/>
      <c r="FG968" s="109"/>
      <c r="FH968" s="111"/>
      <c r="FI968" s="109"/>
      <c r="FJ968" s="109"/>
      <c r="FK968" s="110"/>
      <c r="FL968" s="109"/>
      <c r="FM968" s="111"/>
      <c r="FN968" s="109"/>
      <c r="FO968" s="109"/>
      <c r="FP968" s="110"/>
      <c r="FQ968" s="109"/>
      <c r="FR968" s="111"/>
      <c r="FS968" s="109"/>
      <c r="FT968" s="109"/>
      <c r="FU968" s="110"/>
      <c r="FV968" s="109"/>
      <c r="FW968" s="111"/>
      <c r="FX968" s="109"/>
      <c r="FY968" s="109"/>
      <c r="FZ968" s="110"/>
      <c r="GA968" s="109"/>
      <c r="GB968" s="111"/>
      <c r="GC968" s="109"/>
      <c r="GD968" s="109"/>
      <c r="GE968" s="110"/>
      <c r="GF968" s="109"/>
      <c r="GG968" s="111"/>
      <c r="GH968" s="109"/>
      <c r="GI968" s="109"/>
      <c r="GJ968" s="110"/>
      <c r="GK968" s="109"/>
      <c r="GL968" s="111"/>
      <c r="GM968" s="109"/>
      <c r="GN968" s="109"/>
      <c r="GO968" s="110"/>
      <c r="GP968" s="109"/>
      <c r="GQ968" s="111"/>
      <c r="GR968" s="109"/>
      <c r="GS968" s="109"/>
      <c r="GT968" s="110"/>
      <c r="GU968" s="109"/>
      <c r="GV968" s="111"/>
      <c r="GW968" s="109"/>
      <c r="GX968" s="109"/>
      <c r="GY968" s="110"/>
      <c r="GZ968" s="109"/>
      <c r="HA968" s="111"/>
      <c r="HB968" s="109"/>
      <c r="HC968" s="109"/>
      <c r="HD968" s="110"/>
      <c r="HE968" s="109"/>
      <c r="HF968" s="111"/>
      <c r="HG968" s="109"/>
      <c r="HH968" s="109"/>
      <c r="HI968" s="110"/>
      <c r="HJ968" s="109"/>
      <c r="HK968" s="111"/>
      <c r="HL968" s="109"/>
      <c r="HM968" s="109"/>
      <c r="HN968" s="110"/>
      <c r="HO968" s="109"/>
      <c r="HP968" s="111"/>
      <c r="HQ968" s="109"/>
      <c r="HR968" s="109"/>
      <c r="HS968" s="110"/>
      <c r="HT968" s="109"/>
      <c r="HU968" s="111"/>
      <c r="HV968" s="109"/>
      <c r="HW968" s="109"/>
      <c r="HX968" s="110"/>
      <c r="HY968" s="109"/>
      <c r="HZ968" s="111"/>
      <c r="IA968" s="109"/>
      <c r="IB968" s="109"/>
      <c r="IC968" s="110"/>
      <c r="ID968" s="109"/>
      <c r="IE968" s="111"/>
      <c r="IF968" s="109"/>
      <c r="IG968" s="109"/>
      <c r="IH968" s="110"/>
      <c r="II968" s="109"/>
      <c r="IJ968" s="111"/>
      <c r="IK968" s="109"/>
      <c r="IL968" s="109"/>
      <c r="IM968" s="110"/>
      <c r="IN968" s="109"/>
      <c r="IO968" s="111"/>
      <c r="IP968" s="109"/>
      <c r="IQ968" s="109"/>
      <c r="IR968" s="110"/>
      <c r="IS968" s="109"/>
      <c r="IT968" s="111"/>
      <c r="IU968" s="109"/>
      <c r="IV968" s="109"/>
    </row>
    <row r="969" spans="1:256" s="123" customFormat="1" ht="14.25">
      <c r="A969" s="134">
        <v>37259</v>
      </c>
      <c r="B969" s="111">
        <v>57.2575</v>
      </c>
      <c r="C969" s="111">
        <f t="shared" si="16"/>
        <v>0.0572575</v>
      </c>
      <c r="D969" s="111">
        <v>34.888</v>
      </c>
      <c r="E969" s="111">
        <v>38.6014</v>
      </c>
      <c r="F969" s="132"/>
      <c r="G969" s="109"/>
      <c r="H969" s="111"/>
      <c r="I969" s="109"/>
      <c r="J969" s="109"/>
      <c r="K969" s="109"/>
      <c r="L969" s="110"/>
      <c r="M969" s="109"/>
      <c r="N969" s="111"/>
      <c r="O969" s="109"/>
      <c r="P969" s="109"/>
      <c r="Q969" s="110"/>
      <c r="R969" s="109"/>
      <c r="S969" s="111"/>
      <c r="T969" s="109"/>
      <c r="U969" s="109"/>
      <c r="V969" s="110"/>
      <c r="W969" s="109"/>
      <c r="X969" s="111"/>
      <c r="Y969" s="109"/>
      <c r="Z969" s="109"/>
      <c r="AA969" s="110"/>
      <c r="AB969" s="109"/>
      <c r="AC969" s="111"/>
      <c r="AD969" s="109"/>
      <c r="AE969" s="109"/>
      <c r="AF969" s="110"/>
      <c r="AG969" s="109"/>
      <c r="AH969" s="111"/>
      <c r="AI969" s="109"/>
      <c r="AJ969" s="109"/>
      <c r="AK969" s="110"/>
      <c r="AL969" s="109"/>
      <c r="AM969" s="111"/>
      <c r="AN969" s="109"/>
      <c r="AO969" s="109"/>
      <c r="AP969" s="110"/>
      <c r="AQ969" s="109"/>
      <c r="AR969" s="111"/>
      <c r="AS969" s="109"/>
      <c r="AT969" s="109"/>
      <c r="AU969" s="110"/>
      <c r="AV969" s="109"/>
      <c r="AW969" s="111"/>
      <c r="AX969" s="109"/>
      <c r="AY969" s="109"/>
      <c r="AZ969" s="110"/>
      <c r="BA969" s="109"/>
      <c r="BB969" s="111"/>
      <c r="BC969" s="109"/>
      <c r="BD969" s="109"/>
      <c r="BE969" s="110"/>
      <c r="BF969" s="109"/>
      <c r="BG969" s="111"/>
      <c r="BH969" s="109"/>
      <c r="BI969" s="109"/>
      <c r="BJ969" s="110"/>
      <c r="BK969" s="109"/>
      <c r="BL969" s="111"/>
      <c r="BM969" s="109"/>
      <c r="BN969" s="109"/>
      <c r="BO969" s="110"/>
      <c r="BP969" s="109"/>
      <c r="BQ969" s="111"/>
      <c r="BR969" s="109"/>
      <c r="BS969" s="109"/>
      <c r="BT969" s="110"/>
      <c r="BU969" s="109"/>
      <c r="BV969" s="111"/>
      <c r="BW969" s="109"/>
      <c r="BX969" s="109"/>
      <c r="BY969" s="110"/>
      <c r="BZ969" s="109"/>
      <c r="CA969" s="111"/>
      <c r="CB969" s="109"/>
      <c r="CC969" s="109"/>
      <c r="CD969" s="110"/>
      <c r="CE969" s="109"/>
      <c r="CF969" s="111"/>
      <c r="CG969" s="109"/>
      <c r="CH969" s="109"/>
      <c r="CI969" s="110"/>
      <c r="CJ969" s="109"/>
      <c r="CK969" s="111"/>
      <c r="CL969" s="109"/>
      <c r="CM969" s="109"/>
      <c r="CN969" s="110"/>
      <c r="CO969" s="109"/>
      <c r="CP969" s="111"/>
      <c r="CQ969" s="109"/>
      <c r="CR969" s="109"/>
      <c r="CS969" s="110"/>
      <c r="CT969" s="109"/>
      <c r="CU969" s="111"/>
      <c r="CV969" s="109"/>
      <c r="CW969" s="109"/>
      <c r="CX969" s="110"/>
      <c r="CY969" s="109"/>
      <c r="CZ969" s="111"/>
      <c r="DA969" s="109"/>
      <c r="DB969" s="109"/>
      <c r="DC969" s="110"/>
      <c r="DD969" s="109"/>
      <c r="DE969" s="111"/>
      <c r="DF969" s="109"/>
      <c r="DG969" s="109"/>
      <c r="DH969" s="110"/>
      <c r="DI969" s="109"/>
      <c r="DJ969" s="111"/>
      <c r="DK969" s="109"/>
      <c r="DL969" s="109"/>
      <c r="DM969" s="110"/>
      <c r="DN969" s="109"/>
      <c r="DO969" s="111"/>
      <c r="DP969" s="109"/>
      <c r="DQ969" s="109"/>
      <c r="DR969" s="110"/>
      <c r="DS969" s="109"/>
      <c r="DT969" s="111"/>
      <c r="DU969" s="109"/>
      <c r="DV969" s="109"/>
      <c r="DW969" s="110"/>
      <c r="DX969" s="109"/>
      <c r="DY969" s="111"/>
      <c r="DZ969" s="109"/>
      <c r="EA969" s="109"/>
      <c r="EB969" s="110"/>
      <c r="EC969" s="109"/>
      <c r="ED969" s="111"/>
      <c r="EE969" s="109"/>
      <c r="EF969" s="109"/>
      <c r="EG969" s="110"/>
      <c r="EH969" s="109"/>
      <c r="EI969" s="111"/>
      <c r="EJ969" s="109"/>
      <c r="EK969" s="109"/>
      <c r="EL969" s="110"/>
      <c r="EM969" s="109"/>
      <c r="EN969" s="111"/>
      <c r="EO969" s="109"/>
      <c r="EP969" s="109"/>
      <c r="EQ969" s="110"/>
      <c r="ER969" s="109"/>
      <c r="ES969" s="111"/>
      <c r="ET969" s="109"/>
      <c r="EU969" s="109"/>
      <c r="EV969" s="110"/>
      <c r="EW969" s="109"/>
      <c r="EX969" s="111"/>
      <c r="EY969" s="109"/>
      <c r="EZ969" s="109"/>
      <c r="FA969" s="110"/>
      <c r="FB969" s="109"/>
      <c r="FC969" s="111"/>
      <c r="FD969" s="109"/>
      <c r="FE969" s="109"/>
      <c r="FF969" s="110"/>
      <c r="FG969" s="109"/>
      <c r="FH969" s="111"/>
      <c r="FI969" s="109"/>
      <c r="FJ969" s="109"/>
      <c r="FK969" s="110"/>
      <c r="FL969" s="109"/>
      <c r="FM969" s="111"/>
      <c r="FN969" s="109"/>
      <c r="FO969" s="109"/>
      <c r="FP969" s="110"/>
      <c r="FQ969" s="109"/>
      <c r="FR969" s="111"/>
      <c r="FS969" s="109"/>
      <c r="FT969" s="109"/>
      <c r="FU969" s="110"/>
      <c r="FV969" s="109"/>
      <c r="FW969" s="111"/>
      <c r="FX969" s="109"/>
      <c r="FY969" s="109"/>
      <c r="FZ969" s="110"/>
      <c r="GA969" s="109"/>
      <c r="GB969" s="111"/>
      <c r="GC969" s="109"/>
      <c r="GD969" s="109"/>
      <c r="GE969" s="110"/>
      <c r="GF969" s="109"/>
      <c r="GG969" s="111"/>
      <c r="GH969" s="109"/>
      <c r="GI969" s="109"/>
      <c r="GJ969" s="110"/>
      <c r="GK969" s="109"/>
      <c r="GL969" s="111"/>
      <c r="GM969" s="109"/>
      <c r="GN969" s="109"/>
      <c r="GO969" s="110"/>
      <c r="GP969" s="109"/>
      <c r="GQ969" s="111"/>
      <c r="GR969" s="109"/>
      <c r="GS969" s="109"/>
      <c r="GT969" s="110"/>
      <c r="GU969" s="109"/>
      <c r="GV969" s="111"/>
      <c r="GW969" s="109"/>
      <c r="GX969" s="109"/>
      <c r="GY969" s="110"/>
      <c r="GZ969" s="109"/>
      <c r="HA969" s="111"/>
      <c r="HB969" s="109"/>
      <c r="HC969" s="109"/>
      <c r="HD969" s="110"/>
      <c r="HE969" s="109"/>
      <c r="HF969" s="111"/>
      <c r="HG969" s="109"/>
      <c r="HH969" s="109"/>
      <c r="HI969" s="110"/>
      <c r="HJ969" s="109"/>
      <c r="HK969" s="111"/>
      <c r="HL969" s="109"/>
      <c r="HM969" s="109"/>
      <c r="HN969" s="110"/>
      <c r="HO969" s="109"/>
      <c r="HP969" s="111"/>
      <c r="HQ969" s="109"/>
      <c r="HR969" s="109"/>
      <c r="HS969" s="110"/>
      <c r="HT969" s="109"/>
      <c r="HU969" s="111"/>
      <c r="HV969" s="109"/>
      <c r="HW969" s="109"/>
      <c r="HX969" s="110"/>
      <c r="HY969" s="109"/>
      <c r="HZ969" s="111"/>
      <c r="IA969" s="109"/>
      <c r="IB969" s="109"/>
      <c r="IC969" s="110"/>
      <c r="ID969" s="109"/>
      <c r="IE969" s="111"/>
      <c r="IF969" s="109"/>
      <c r="IG969" s="109"/>
      <c r="IH969" s="110"/>
      <c r="II969" s="109"/>
      <c r="IJ969" s="111"/>
      <c r="IK969" s="109"/>
      <c r="IL969" s="109"/>
      <c r="IM969" s="110"/>
      <c r="IN969" s="109"/>
      <c r="IO969" s="111"/>
      <c r="IP969" s="109"/>
      <c r="IQ969" s="109"/>
      <c r="IR969" s="110"/>
      <c r="IS969" s="109"/>
      <c r="IT969" s="111"/>
      <c r="IU969" s="109"/>
      <c r="IV969" s="109"/>
    </row>
    <row r="970" spans="1:256" s="123" customFormat="1" ht="14.25">
      <c r="A970" s="134">
        <v>37260</v>
      </c>
      <c r="B970" s="111">
        <v>61.1582</v>
      </c>
      <c r="C970" s="111">
        <f t="shared" si="16"/>
        <v>0.0611582</v>
      </c>
      <c r="D970" s="111">
        <v>37.1988</v>
      </c>
      <c r="E970" s="111">
        <v>41.1673</v>
      </c>
      <c r="F970" s="132"/>
      <c r="G970"/>
      <c r="H970" s="109"/>
      <c r="I970" s="111"/>
      <c r="J970" s="109"/>
      <c r="K970" s="109"/>
      <c r="L970" s="110"/>
      <c r="M970" s="109"/>
      <c r="N970" s="111"/>
      <c r="O970" s="109"/>
      <c r="P970" s="109"/>
      <c r="Q970" s="110"/>
      <c r="R970" s="109"/>
      <c r="S970" s="111"/>
      <c r="T970" s="109"/>
      <c r="U970" s="109"/>
      <c r="V970" s="110"/>
      <c r="W970" s="109"/>
      <c r="X970" s="111"/>
      <c r="Y970" s="109"/>
      <c r="Z970" s="109"/>
      <c r="AA970" s="110"/>
      <c r="AB970" s="109"/>
      <c r="AC970" s="111"/>
      <c r="AD970" s="109"/>
      <c r="AE970" s="109"/>
      <c r="AF970" s="110"/>
      <c r="AG970" s="109"/>
      <c r="AH970" s="111"/>
      <c r="AI970" s="109"/>
      <c r="AJ970" s="109"/>
      <c r="AK970" s="110"/>
      <c r="AL970" s="109"/>
      <c r="AM970" s="111"/>
      <c r="AN970" s="109"/>
      <c r="AO970" s="109"/>
      <c r="AP970" s="110"/>
      <c r="AQ970" s="109"/>
      <c r="AR970" s="111"/>
      <c r="AS970" s="109"/>
      <c r="AT970" s="109"/>
      <c r="AU970" s="110"/>
      <c r="AV970" s="109"/>
      <c r="AW970" s="111"/>
      <c r="AX970" s="109"/>
      <c r="AY970" s="109"/>
      <c r="AZ970" s="110"/>
      <c r="BA970" s="109"/>
      <c r="BB970" s="111"/>
      <c r="BC970" s="109"/>
      <c r="BD970" s="109"/>
      <c r="BE970" s="110"/>
      <c r="BF970" s="109"/>
      <c r="BG970" s="111"/>
      <c r="BH970" s="109"/>
      <c r="BI970" s="109"/>
      <c r="BJ970" s="110"/>
      <c r="BK970" s="109"/>
      <c r="BL970" s="111"/>
      <c r="BM970" s="109"/>
      <c r="BN970" s="109"/>
      <c r="BO970" s="110"/>
      <c r="BP970" s="109"/>
      <c r="BQ970" s="111"/>
      <c r="BR970" s="109"/>
      <c r="BS970" s="109"/>
      <c r="BT970" s="110"/>
      <c r="BU970" s="109"/>
      <c r="BV970" s="111"/>
      <c r="BW970" s="109"/>
      <c r="BX970" s="109"/>
      <c r="BY970" s="110"/>
      <c r="BZ970" s="109"/>
      <c r="CA970" s="111"/>
      <c r="CB970" s="109"/>
      <c r="CC970" s="109"/>
      <c r="CD970" s="110"/>
      <c r="CE970" s="109"/>
      <c r="CF970" s="111"/>
      <c r="CG970" s="109"/>
      <c r="CH970" s="109"/>
      <c r="CI970" s="110"/>
      <c r="CJ970" s="109"/>
      <c r="CK970" s="111"/>
      <c r="CL970" s="109"/>
      <c r="CM970" s="109"/>
      <c r="CN970" s="110"/>
      <c r="CO970" s="109"/>
      <c r="CP970" s="111"/>
      <c r="CQ970" s="109"/>
      <c r="CR970" s="109"/>
      <c r="CS970" s="110"/>
      <c r="CT970" s="109"/>
      <c r="CU970" s="111"/>
      <c r="CV970" s="109"/>
      <c r="CW970" s="109"/>
      <c r="CX970" s="110"/>
      <c r="CY970" s="109"/>
      <c r="CZ970" s="111"/>
      <c r="DA970" s="109"/>
      <c r="DB970" s="109"/>
      <c r="DC970" s="110"/>
      <c r="DD970" s="109"/>
      <c r="DE970" s="111"/>
      <c r="DF970" s="109"/>
      <c r="DG970" s="109"/>
      <c r="DH970" s="110"/>
      <c r="DI970" s="109"/>
      <c r="DJ970" s="111"/>
      <c r="DK970" s="109"/>
      <c r="DL970" s="109"/>
      <c r="DM970" s="110"/>
      <c r="DN970" s="109"/>
      <c r="DO970" s="111"/>
      <c r="DP970" s="109"/>
      <c r="DQ970" s="109"/>
      <c r="DR970" s="110"/>
      <c r="DS970" s="109"/>
      <c r="DT970" s="111"/>
      <c r="DU970" s="109"/>
      <c r="DV970" s="109"/>
      <c r="DW970" s="110"/>
      <c r="DX970" s="109"/>
      <c r="DY970" s="111"/>
      <c r="DZ970" s="109"/>
      <c r="EA970" s="109"/>
      <c r="EB970" s="110"/>
      <c r="EC970" s="109"/>
      <c r="ED970" s="111"/>
      <c r="EE970" s="109"/>
      <c r="EF970" s="109"/>
      <c r="EG970" s="110"/>
      <c r="EH970" s="109"/>
      <c r="EI970" s="111"/>
      <c r="EJ970" s="109"/>
      <c r="EK970" s="109"/>
      <c r="EL970" s="110"/>
      <c r="EM970" s="109"/>
      <c r="EN970" s="111"/>
      <c r="EO970" s="109"/>
      <c r="EP970" s="109"/>
      <c r="EQ970" s="110"/>
      <c r="ER970" s="109"/>
      <c r="ES970" s="111"/>
      <c r="ET970" s="109"/>
      <c r="EU970" s="109"/>
      <c r="EV970" s="110"/>
      <c r="EW970" s="109"/>
      <c r="EX970" s="111"/>
      <c r="EY970" s="109"/>
      <c r="EZ970" s="109"/>
      <c r="FA970" s="110"/>
      <c r="FB970" s="109"/>
      <c r="FC970" s="111"/>
      <c r="FD970" s="109"/>
      <c r="FE970" s="109"/>
      <c r="FF970" s="110"/>
      <c r="FG970" s="109"/>
      <c r="FH970" s="111"/>
      <c r="FI970" s="109"/>
      <c r="FJ970" s="109"/>
      <c r="FK970" s="110"/>
      <c r="FL970" s="109"/>
      <c r="FM970" s="111"/>
      <c r="FN970" s="109"/>
      <c r="FO970" s="109"/>
      <c r="FP970" s="110"/>
      <c r="FQ970" s="109"/>
      <c r="FR970" s="111"/>
      <c r="FS970" s="109"/>
      <c r="FT970" s="109"/>
      <c r="FU970" s="110"/>
      <c r="FV970" s="109"/>
      <c r="FW970" s="111"/>
      <c r="FX970" s="109"/>
      <c r="FY970" s="109"/>
      <c r="FZ970" s="110"/>
      <c r="GA970" s="109"/>
      <c r="GB970" s="111"/>
      <c r="GC970" s="109"/>
      <c r="GD970" s="109"/>
      <c r="GE970" s="110"/>
      <c r="GF970" s="109"/>
      <c r="GG970" s="111"/>
      <c r="GH970" s="109"/>
      <c r="GI970" s="109"/>
      <c r="GJ970" s="110"/>
      <c r="GK970" s="109"/>
      <c r="GL970" s="111"/>
      <c r="GM970" s="109"/>
      <c r="GN970" s="109"/>
      <c r="GO970" s="110"/>
      <c r="GP970" s="109"/>
      <c r="GQ970" s="111"/>
      <c r="GR970" s="109"/>
      <c r="GS970" s="109"/>
      <c r="GT970" s="110"/>
      <c r="GU970" s="109"/>
      <c r="GV970" s="111"/>
      <c r="GW970" s="109"/>
      <c r="GX970" s="109"/>
      <c r="GY970" s="110"/>
      <c r="GZ970" s="109"/>
      <c r="HA970" s="111"/>
      <c r="HB970" s="109"/>
      <c r="HC970" s="109"/>
      <c r="HD970" s="110"/>
      <c r="HE970" s="109"/>
      <c r="HF970" s="111"/>
      <c r="HG970" s="109"/>
      <c r="HH970" s="109"/>
      <c r="HI970" s="110"/>
      <c r="HJ970" s="109"/>
      <c r="HK970" s="111"/>
      <c r="HL970" s="109"/>
      <c r="HM970" s="109"/>
      <c r="HN970" s="110"/>
      <c r="HO970" s="109"/>
      <c r="HP970" s="111"/>
      <c r="HQ970" s="109"/>
      <c r="HR970" s="109"/>
      <c r="HS970" s="110"/>
      <c r="HT970" s="109"/>
      <c r="HU970" s="111"/>
      <c r="HV970" s="109"/>
      <c r="HW970" s="109"/>
      <c r="HX970" s="110"/>
      <c r="HY970" s="109"/>
      <c r="HZ970" s="111"/>
      <c r="IA970" s="109"/>
      <c r="IB970" s="109"/>
      <c r="IC970" s="110"/>
      <c r="ID970" s="109"/>
      <c r="IE970" s="111"/>
      <c r="IF970" s="109"/>
      <c r="IG970" s="109"/>
      <c r="IH970" s="110"/>
      <c r="II970" s="109"/>
      <c r="IJ970" s="111"/>
      <c r="IK970" s="109"/>
      <c r="IL970" s="109"/>
      <c r="IM970" s="110"/>
      <c r="IN970" s="109"/>
      <c r="IO970" s="111"/>
      <c r="IP970" s="109"/>
      <c r="IQ970" s="109"/>
      <c r="IR970" s="110"/>
      <c r="IS970" s="109"/>
      <c r="IT970" s="111"/>
      <c r="IU970" s="109"/>
      <c r="IV970" s="109"/>
    </row>
    <row r="971" spans="1:256" s="123" customFormat="1" ht="14.25">
      <c r="A971" s="134">
        <v>37263</v>
      </c>
      <c r="B971" s="111">
        <v>132.2373</v>
      </c>
      <c r="C971" s="111">
        <f t="shared" si="16"/>
        <v>0.1322373</v>
      </c>
      <c r="D971" s="111">
        <v>80.0631</v>
      </c>
      <c r="E971" s="111">
        <v>89.416</v>
      </c>
      <c r="F971" s="132"/>
      <c r="G971"/>
      <c r="H971" s="109"/>
      <c r="I971" s="111"/>
      <c r="J971" s="109"/>
      <c r="K971" s="109"/>
      <c r="L971" s="110"/>
      <c r="M971" s="109"/>
      <c r="N971" s="111"/>
      <c r="O971" s="109"/>
      <c r="P971" s="109"/>
      <c r="Q971" s="110"/>
      <c r="R971" s="109"/>
      <c r="S971" s="111"/>
      <c r="T971" s="109"/>
      <c r="U971" s="109"/>
      <c r="V971" s="110"/>
      <c r="W971" s="109"/>
      <c r="X971" s="111"/>
      <c r="Y971" s="109"/>
      <c r="Z971" s="109"/>
      <c r="AA971" s="110"/>
      <c r="AB971" s="109"/>
      <c r="AC971" s="111"/>
      <c r="AD971" s="109"/>
      <c r="AE971" s="109"/>
      <c r="AF971" s="110"/>
      <c r="AG971" s="109"/>
      <c r="AH971" s="111"/>
      <c r="AI971" s="109"/>
      <c r="AJ971" s="109"/>
      <c r="AK971" s="110"/>
      <c r="AL971" s="109"/>
      <c r="AM971" s="111"/>
      <c r="AN971" s="109"/>
      <c r="AO971" s="109"/>
      <c r="AP971" s="110"/>
      <c r="AQ971" s="109"/>
      <c r="AR971" s="111"/>
      <c r="AS971" s="109"/>
      <c r="AT971" s="109"/>
      <c r="AU971" s="110"/>
      <c r="AV971" s="109"/>
      <c r="AW971" s="111"/>
      <c r="AX971" s="109"/>
      <c r="AY971" s="109"/>
      <c r="AZ971" s="110"/>
      <c r="BA971" s="109"/>
      <c r="BB971" s="111"/>
      <c r="BC971" s="109"/>
      <c r="BD971" s="109"/>
      <c r="BE971" s="110"/>
      <c r="BF971" s="109"/>
      <c r="BG971" s="111"/>
      <c r="BH971" s="109"/>
      <c r="BI971" s="109"/>
      <c r="BJ971" s="110"/>
      <c r="BK971" s="109"/>
      <c r="BL971" s="111"/>
      <c r="BM971" s="109"/>
      <c r="BN971" s="109"/>
      <c r="BO971" s="110"/>
      <c r="BP971" s="109"/>
      <c r="BQ971" s="111"/>
      <c r="BR971" s="109"/>
      <c r="BS971" s="109"/>
      <c r="BT971" s="110"/>
      <c r="BU971" s="109"/>
      <c r="BV971" s="111"/>
      <c r="BW971" s="109"/>
      <c r="BX971" s="109"/>
      <c r="BY971" s="110"/>
      <c r="BZ971" s="109"/>
      <c r="CA971" s="111"/>
      <c r="CB971" s="109"/>
      <c r="CC971" s="109"/>
      <c r="CD971" s="110"/>
      <c r="CE971" s="109"/>
      <c r="CF971" s="111"/>
      <c r="CG971" s="109"/>
      <c r="CH971" s="109"/>
      <c r="CI971" s="110"/>
      <c r="CJ971" s="109"/>
      <c r="CK971" s="111"/>
      <c r="CL971" s="109"/>
      <c r="CM971" s="109"/>
      <c r="CN971" s="110"/>
      <c r="CO971" s="109"/>
      <c r="CP971" s="111"/>
      <c r="CQ971" s="109"/>
      <c r="CR971" s="109"/>
      <c r="CS971" s="110"/>
      <c r="CT971" s="109"/>
      <c r="CU971" s="111"/>
      <c r="CV971" s="109"/>
      <c r="CW971" s="109"/>
      <c r="CX971" s="110"/>
      <c r="CY971" s="109"/>
      <c r="CZ971" s="111"/>
      <c r="DA971" s="109"/>
      <c r="DB971" s="109"/>
      <c r="DC971" s="110"/>
      <c r="DD971" s="109"/>
      <c r="DE971" s="111"/>
      <c r="DF971" s="109"/>
      <c r="DG971" s="109"/>
      <c r="DH971" s="110"/>
      <c r="DI971" s="109"/>
      <c r="DJ971" s="111"/>
      <c r="DK971" s="109"/>
      <c r="DL971" s="109"/>
      <c r="DM971" s="110"/>
      <c r="DN971" s="109"/>
      <c r="DO971" s="111"/>
      <c r="DP971" s="109"/>
      <c r="DQ971" s="109"/>
      <c r="DR971" s="110"/>
      <c r="DS971" s="109"/>
      <c r="DT971" s="111"/>
      <c r="DU971" s="109"/>
      <c r="DV971" s="109"/>
      <c r="DW971" s="110"/>
      <c r="DX971" s="109"/>
      <c r="DY971" s="111"/>
      <c r="DZ971" s="109"/>
      <c r="EA971" s="109"/>
      <c r="EB971" s="110"/>
      <c r="EC971" s="109"/>
      <c r="ED971" s="111"/>
      <c r="EE971" s="109"/>
      <c r="EF971" s="109"/>
      <c r="EG971" s="110"/>
      <c r="EH971" s="109"/>
      <c r="EI971" s="111"/>
      <c r="EJ971" s="109"/>
      <c r="EK971" s="109"/>
      <c r="EL971" s="110"/>
      <c r="EM971" s="109"/>
      <c r="EN971" s="111"/>
      <c r="EO971" s="109"/>
      <c r="EP971" s="109"/>
      <c r="EQ971" s="110"/>
      <c r="ER971" s="109"/>
      <c r="ES971" s="111"/>
      <c r="ET971" s="109"/>
      <c r="EU971" s="109"/>
      <c r="EV971" s="110"/>
      <c r="EW971" s="109"/>
      <c r="EX971" s="111"/>
      <c r="EY971" s="109"/>
      <c r="EZ971" s="109"/>
      <c r="FA971" s="110"/>
      <c r="FB971" s="109"/>
      <c r="FC971" s="111"/>
      <c r="FD971" s="109"/>
      <c r="FE971" s="109"/>
      <c r="FF971" s="110"/>
      <c r="FG971" s="109"/>
      <c r="FH971" s="111"/>
      <c r="FI971" s="109"/>
      <c r="FJ971" s="109"/>
      <c r="FK971" s="110"/>
      <c r="FL971" s="109"/>
      <c r="FM971" s="111"/>
      <c r="FN971" s="109"/>
      <c r="FO971" s="109"/>
      <c r="FP971" s="110"/>
      <c r="FQ971" s="109"/>
      <c r="FR971" s="111"/>
      <c r="FS971" s="109"/>
      <c r="FT971" s="109"/>
      <c r="FU971" s="110"/>
      <c r="FV971" s="109"/>
      <c r="FW971" s="111"/>
      <c r="FX971" s="109"/>
      <c r="FY971" s="109"/>
      <c r="FZ971" s="110"/>
      <c r="GA971" s="109"/>
      <c r="GB971" s="111"/>
      <c r="GC971" s="109"/>
      <c r="GD971" s="109"/>
      <c r="GE971" s="110"/>
      <c r="GF971" s="109"/>
      <c r="GG971" s="111"/>
      <c r="GH971" s="109"/>
      <c r="GI971" s="109"/>
      <c r="GJ971" s="110"/>
      <c r="GK971" s="109"/>
      <c r="GL971" s="111"/>
      <c r="GM971" s="109"/>
      <c r="GN971" s="109"/>
      <c r="GO971" s="110"/>
      <c r="GP971" s="109"/>
      <c r="GQ971" s="111"/>
      <c r="GR971" s="109"/>
      <c r="GS971" s="109"/>
      <c r="GT971" s="110"/>
      <c r="GU971" s="109"/>
      <c r="GV971" s="111"/>
      <c r="GW971" s="109"/>
      <c r="GX971" s="109"/>
      <c r="GY971" s="110"/>
      <c r="GZ971" s="109"/>
      <c r="HA971" s="111"/>
      <c r="HB971" s="109"/>
      <c r="HC971" s="109"/>
      <c r="HD971" s="110"/>
      <c r="HE971" s="109"/>
      <c r="HF971" s="111"/>
      <c r="HG971" s="109"/>
      <c r="HH971" s="109"/>
      <c r="HI971" s="110"/>
      <c r="HJ971" s="109"/>
      <c r="HK971" s="111"/>
      <c r="HL971" s="109"/>
      <c r="HM971" s="109"/>
      <c r="HN971" s="110"/>
      <c r="HO971" s="109"/>
      <c r="HP971" s="111"/>
      <c r="HQ971" s="109"/>
      <c r="HR971" s="109"/>
      <c r="HS971" s="110"/>
      <c r="HT971" s="109"/>
      <c r="HU971" s="111"/>
      <c r="HV971" s="109"/>
      <c r="HW971" s="109"/>
      <c r="HX971" s="110"/>
      <c r="HY971" s="109"/>
      <c r="HZ971" s="111"/>
      <c r="IA971" s="109"/>
      <c r="IB971" s="109"/>
      <c r="IC971" s="110"/>
      <c r="ID971" s="109"/>
      <c r="IE971" s="111"/>
      <c r="IF971" s="109"/>
      <c r="IG971" s="109"/>
      <c r="IH971" s="110"/>
      <c r="II971" s="109"/>
      <c r="IJ971" s="111"/>
      <c r="IK971" s="109"/>
      <c r="IL971" s="109"/>
      <c r="IM971" s="110"/>
      <c r="IN971" s="109"/>
      <c r="IO971" s="111"/>
      <c r="IP971" s="109"/>
      <c r="IQ971" s="109"/>
      <c r="IR971" s="110"/>
      <c r="IS971" s="109"/>
      <c r="IT971" s="111"/>
      <c r="IU971" s="109"/>
      <c r="IV971" s="109"/>
    </row>
    <row r="972" spans="1:256" s="123" customFormat="1" ht="14.25">
      <c r="A972" s="134">
        <v>37264</v>
      </c>
      <c r="B972" s="111">
        <v>90.3462</v>
      </c>
      <c r="C972" s="111">
        <f t="shared" si="16"/>
        <v>0.0903462</v>
      </c>
      <c r="D972" s="111">
        <v>54.6595</v>
      </c>
      <c r="E972" s="111">
        <v>61.3807</v>
      </c>
      <c r="F972" s="132"/>
      <c r="G972"/>
      <c r="H972" s="109"/>
      <c r="I972" s="111"/>
      <c r="J972" s="109"/>
      <c r="K972" s="109"/>
      <c r="L972" s="110"/>
      <c r="M972" s="109"/>
      <c r="N972" s="111"/>
      <c r="O972" s="109"/>
      <c r="P972" s="109"/>
      <c r="Q972" s="110"/>
      <c r="R972" s="109"/>
      <c r="S972" s="111"/>
      <c r="T972" s="109"/>
      <c r="U972" s="109"/>
      <c r="V972" s="110"/>
      <c r="W972" s="109"/>
      <c r="X972" s="111"/>
      <c r="Y972" s="109"/>
      <c r="Z972" s="109"/>
      <c r="AA972" s="110"/>
      <c r="AB972" s="109"/>
      <c r="AC972" s="111"/>
      <c r="AD972" s="109"/>
      <c r="AE972" s="109"/>
      <c r="AF972" s="110"/>
      <c r="AG972" s="109"/>
      <c r="AH972" s="111"/>
      <c r="AI972" s="109"/>
      <c r="AJ972" s="109"/>
      <c r="AK972" s="110"/>
      <c r="AL972" s="109"/>
      <c r="AM972" s="111"/>
      <c r="AN972" s="109"/>
      <c r="AO972" s="109"/>
      <c r="AP972" s="110"/>
      <c r="AQ972" s="109"/>
      <c r="AR972" s="111"/>
      <c r="AS972" s="109"/>
      <c r="AT972" s="109"/>
      <c r="AU972" s="110"/>
      <c r="AV972" s="109"/>
      <c r="AW972" s="111"/>
      <c r="AX972" s="109"/>
      <c r="AY972" s="109"/>
      <c r="AZ972" s="110"/>
      <c r="BA972" s="109"/>
      <c r="BB972" s="111"/>
      <c r="BC972" s="109"/>
      <c r="BD972" s="109"/>
      <c r="BE972" s="110"/>
      <c r="BF972" s="109"/>
      <c r="BG972" s="111"/>
      <c r="BH972" s="109"/>
      <c r="BI972" s="109"/>
      <c r="BJ972" s="110"/>
      <c r="BK972" s="109"/>
      <c r="BL972" s="111"/>
      <c r="BM972" s="109"/>
      <c r="BN972" s="109"/>
      <c r="BO972" s="110"/>
      <c r="BP972" s="109"/>
      <c r="BQ972" s="111"/>
      <c r="BR972" s="109"/>
      <c r="BS972" s="109"/>
      <c r="BT972" s="110"/>
      <c r="BU972" s="109"/>
      <c r="BV972" s="111"/>
      <c r="BW972" s="109"/>
      <c r="BX972" s="109"/>
      <c r="BY972" s="110"/>
      <c r="BZ972" s="109"/>
      <c r="CA972" s="111"/>
      <c r="CB972" s="109"/>
      <c r="CC972" s="109"/>
      <c r="CD972" s="110"/>
      <c r="CE972" s="109"/>
      <c r="CF972" s="111"/>
      <c r="CG972" s="109"/>
      <c r="CH972" s="109"/>
      <c r="CI972" s="110"/>
      <c r="CJ972" s="109"/>
      <c r="CK972" s="111"/>
      <c r="CL972" s="109"/>
      <c r="CM972" s="109"/>
      <c r="CN972" s="110"/>
      <c r="CO972" s="109"/>
      <c r="CP972" s="111"/>
      <c r="CQ972" s="109"/>
      <c r="CR972" s="109"/>
      <c r="CS972" s="110"/>
      <c r="CT972" s="109"/>
      <c r="CU972" s="111"/>
      <c r="CV972" s="109"/>
      <c r="CW972" s="109"/>
      <c r="CX972" s="110"/>
      <c r="CY972" s="109"/>
      <c r="CZ972" s="111"/>
      <c r="DA972" s="109"/>
      <c r="DB972" s="109"/>
      <c r="DC972" s="110"/>
      <c r="DD972" s="109"/>
      <c r="DE972" s="111"/>
      <c r="DF972" s="109"/>
      <c r="DG972" s="109"/>
      <c r="DH972" s="110"/>
      <c r="DI972" s="109"/>
      <c r="DJ972" s="111"/>
      <c r="DK972" s="109"/>
      <c r="DL972" s="109"/>
      <c r="DM972" s="110"/>
      <c r="DN972" s="109"/>
      <c r="DO972" s="111"/>
      <c r="DP972" s="109"/>
      <c r="DQ972" s="109"/>
      <c r="DR972" s="110"/>
      <c r="DS972" s="109"/>
      <c r="DT972" s="111"/>
      <c r="DU972" s="109"/>
      <c r="DV972" s="109"/>
      <c r="DW972" s="110"/>
      <c r="DX972" s="109"/>
      <c r="DY972" s="111"/>
      <c r="DZ972" s="109"/>
      <c r="EA972" s="109"/>
      <c r="EB972" s="110"/>
      <c r="EC972" s="109"/>
      <c r="ED972" s="111"/>
      <c r="EE972" s="109"/>
      <c r="EF972" s="109"/>
      <c r="EG972" s="110"/>
      <c r="EH972" s="109"/>
      <c r="EI972" s="111"/>
      <c r="EJ972" s="109"/>
      <c r="EK972" s="109"/>
      <c r="EL972" s="110"/>
      <c r="EM972" s="109"/>
      <c r="EN972" s="111"/>
      <c r="EO972" s="109"/>
      <c r="EP972" s="109"/>
      <c r="EQ972" s="110"/>
      <c r="ER972" s="109"/>
      <c r="ES972" s="111"/>
      <c r="ET972" s="109"/>
      <c r="EU972" s="109"/>
      <c r="EV972" s="110"/>
      <c r="EW972" s="109"/>
      <c r="EX972" s="111"/>
      <c r="EY972" s="109"/>
      <c r="EZ972" s="109"/>
      <c r="FA972" s="110"/>
      <c r="FB972" s="109"/>
      <c r="FC972" s="111"/>
      <c r="FD972" s="109"/>
      <c r="FE972" s="109"/>
      <c r="FF972" s="110"/>
      <c r="FG972" s="109"/>
      <c r="FH972" s="111"/>
      <c r="FI972" s="109"/>
      <c r="FJ972" s="109"/>
      <c r="FK972" s="110"/>
      <c r="FL972" s="109"/>
      <c r="FM972" s="111"/>
      <c r="FN972" s="109"/>
      <c r="FO972" s="109"/>
      <c r="FP972" s="110"/>
      <c r="FQ972" s="109"/>
      <c r="FR972" s="111"/>
      <c r="FS972" s="109"/>
      <c r="FT972" s="109"/>
      <c r="FU972" s="110"/>
      <c r="FV972" s="109"/>
      <c r="FW972" s="111"/>
      <c r="FX972" s="109"/>
      <c r="FY972" s="109"/>
      <c r="FZ972" s="110"/>
      <c r="GA972" s="109"/>
      <c r="GB972" s="111"/>
      <c r="GC972" s="109"/>
      <c r="GD972" s="109"/>
      <c r="GE972" s="110"/>
      <c r="GF972" s="109"/>
      <c r="GG972" s="111"/>
      <c r="GH972" s="109"/>
      <c r="GI972" s="109"/>
      <c r="GJ972" s="110"/>
      <c r="GK972" s="109"/>
      <c r="GL972" s="111"/>
      <c r="GM972" s="109"/>
      <c r="GN972" s="109"/>
      <c r="GO972" s="110"/>
      <c r="GP972" s="109"/>
      <c r="GQ972" s="111"/>
      <c r="GR972" s="109"/>
      <c r="GS972" s="109"/>
      <c r="GT972" s="110"/>
      <c r="GU972" s="109"/>
      <c r="GV972" s="111"/>
      <c r="GW972" s="109"/>
      <c r="GX972" s="109"/>
      <c r="GY972" s="110"/>
      <c r="GZ972" s="109"/>
      <c r="HA972" s="111"/>
      <c r="HB972" s="109"/>
      <c r="HC972" s="109"/>
      <c r="HD972" s="110"/>
      <c r="HE972" s="109"/>
      <c r="HF972" s="111"/>
      <c r="HG972" s="109"/>
      <c r="HH972" s="109"/>
      <c r="HI972" s="110"/>
      <c r="HJ972" s="109"/>
      <c r="HK972" s="111"/>
      <c r="HL972" s="109"/>
      <c r="HM972" s="109"/>
      <c r="HN972" s="110"/>
      <c r="HO972" s="109"/>
      <c r="HP972" s="111"/>
      <c r="HQ972" s="109"/>
      <c r="HR972" s="109"/>
      <c r="HS972" s="110"/>
      <c r="HT972" s="109"/>
      <c r="HU972" s="111"/>
      <c r="HV972" s="109"/>
      <c r="HW972" s="109"/>
      <c r="HX972" s="110"/>
      <c r="HY972" s="109"/>
      <c r="HZ972" s="111"/>
      <c r="IA972" s="109"/>
      <c r="IB972" s="109"/>
      <c r="IC972" s="110"/>
      <c r="ID972" s="109"/>
      <c r="IE972" s="111"/>
      <c r="IF972" s="109"/>
      <c r="IG972" s="109"/>
      <c r="IH972" s="110"/>
      <c r="II972" s="109"/>
      <c r="IJ972" s="111"/>
      <c r="IK972" s="109"/>
      <c r="IL972" s="109"/>
      <c r="IM972" s="110"/>
      <c r="IN972" s="109"/>
      <c r="IO972" s="111"/>
      <c r="IP972" s="109"/>
      <c r="IQ972" s="109"/>
      <c r="IR972" s="110"/>
      <c r="IS972" s="109"/>
      <c r="IT972" s="111"/>
      <c r="IU972" s="109"/>
      <c r="IV972" s="109"/>
    </row>
    <row r="973" spans="1:256" s="123" customFormat="1" ht="14.25">
      <c r="A973" s="134">
        <v>37265</v>
      </c>
      <c r="B973" s="111">
        <v>97.396</v>
      </c>
      <c r="C973" s="111">
        <f t="shared" si="16"/>
        <v>0.097396</v>
      </c>
      <c r="D973" s="111">
        <v>59.0152</v>
      </c>
      <c r="E973" s="111">
        <v>66.2423</v>
      </c>
      <c r="F973" s="132"/>
      <c r="G973"/>
      <c r="H973" s="109"/>
      <c r="I973" s="111"/>
      <c r="J973" s="109"/>
      <c r="K973" s="109"/>
      <c r="L973" s="110"/>
      <c r="M973" s="109"/>
      <c r="N973" s="111"/>
      <c r="O973" s="109"/>
      <c r="P973" s="109"/>
      <c r="Q973" s="110"/>
      <c r="R973" s="109"/>
      <c r="S973" s="111"/>
      <c r="T973" s="109"/>
      <c r="U973" s="109"/>
      <c r="V973" s="110"/>
      <c r="W973" s="109"/>
      <c r="X973" s="111"/>
      <c r="Y973" s="109"/>
      <c r="Z973" s="109"/>
      <c r="AA973" s="110"/>
      <c r="AB973" s="109"/>
      <c r="AC973" s="111"/>
      <c r="AD973" s="109"/>
      <c r="AE973" s="109"/>
      <c r="AF973" s="110"/>
      <c r="AG973" s="109"/>
      <c r="AH973" s="111"/>
      <c r="AI973" s="109"/>
      <c r="AJ973" s="109"/>
      <c r="AK973" s="110"/>
      <c r="AL973" s="109"/>
      <c r="AM973" s="111"/>
      <c r="AN973" s="109"/>
      <c r="AO973" s="109"/>
      <c r="AP973" s="110"/>
      <c r="AQ973" s="109"/>
      <c r="AR973" s="111"/>
      <c r="AS973" s="109"/>
      <c r="AT973" s="109"/>
      <c r="AU973" s="110"/>
      <c r="AV973" s="109"/>
      <c r="AW973" s="111"/>
      <c r="AX973" s="109"/>
      <c r="AY973" s="109"/>
      <c r="AZ973" s="110"/>
      <c r="BA973" s="109"/>
      <c r="BB973" s="111"/>
      <c r="BC973" s="109"/>
      <c r="BD973" s="109"/>
      <c r="BE973" s="110"/>
      <c r="BF973" s="109"/>
      <c r="BG973" s="111"/>
      <c r="BH973" s="109"/>
      <c r="BI973" s="109"/>
      <c r="BJ973" s="110"/>
      <c r="BK973" s="109"/>
      <c r="BL973" s="111"/>
      <c r="BM973" s="109"/>
      <c r="BN973" s="109"/>
      <c r="BO973" s="110"/>
      <c r="BP973" s="109"/>
      <c r="BQ973" s="111"/>
      <c r="BR973" s="109"/>
      <c r="BS973" s="109"/>
      <c r="BT973" s="110"/>
      <c r="BU973" s="109"/>
      <c r="BV973" s="111"/>
      <c r="BW973" s="109"/>
      <c r="BX973" s="109"/>
      <c r="BY973" s="110"/>
      <c r="BZ973" s="109"/>
      <c r="CA973" s="111"/>
      <c r="CB973" s="109"/>
      <c r="CC973" s="109"/>
      <c r="CD973" s="110"/>
      <c r="CE973" s="109"/>
      <c r="CF973" s="111"/>
      <c r="CG973" s="109"/>
      <c r="CH973" s="109"/>
      <c r="CI973" s="110"/>
      <c r="CJ973" s="109"/>
      <c r="CK973" s="111"/>
      <c r="CL973" s="109"/>
      <c r="CM973" s="109"/>
      <c r="CN973" s="110"/>
      <c r="CO973" s="109"/>
      <c r="CP973" s="111"/>
      <c r="CQ973" s="109"/>
      <c r="CR973" s="109"/>
      <c r="CS973" s="110"/>
      <c r="CT973" s="109"/>
      <c r="CU973" s="111"/>
      <c r="CV973" s="109"/>
      <c r="CW973" s="109"/>
      <c r="CX973" s="110"/>
      <c r="CY973" s="109"/>
      <c r="CZ973" s="111"/>
      <c r="DA973" s="109"/>
      <c r="DB973" s="109"/>
      <c r="DC973" s="110"/>
      <c r="DD973" s="109"/>
      <c r="DE973" s="111"/>
      <c r="DF973" s="109"/>
      <c r="DG973" s="109"/>
      <c r="DH973" s="110"/>
      <c r="DI973" s="109"/>
      <c r="DJ973" s="111"/>
      <c r="DK973" s="109"/>
      <c r="DL973" s="109"/>
      <c r="DM973" s="110"/>
      <c r="DN973" s="109"/>
      <c r="DO973" s="111"/>
      <c r="DP973" s="109"/>
      <c r="DQ973" s="109"/>
      <c r="DR973" s="110"/>
      <c r="DS973" s="109"/>
      <c r="DT973" s="111"/>
      <c r="DU973" s="109"/>
      <c r="DV973" s="109"/>
      <c r="DW973" s="110"/>
      <c r="DX973" s="109"/>
      <c r="DY973" s="111"/>
      <c r="DZ973" s="109"/>
      <c r="EA973" s="109"/>
      <c r="EB973" s="110"/>
      <c r="EC973" s="109"/>
      <c r="ED973" s="111"/>
      <c r="EE973" s="109"/>
      <c r="EF973" s="109"/>
      <c r="EG973" s="110"/>
      <c r="EH973" s="109"/>
      <c r="EI973" s="111"/>
      <c r="EJ973" s="109"/>
      <c r="EK973" s="109"/>
      <c r="EL973" s="110"/>
      <c r="EM973" s="109"/>
      <c r="EN973" s="111"/>
      <c r="EO973" s="109"/>
      <c r="EP973" s="109"/>
      <c r="EQ973" s="110"/>
      <c r="ER973" s="109"/>
      <c r="ES973" s="111"/>
      <c r="ET973" s="109"/>
      <c r="EU973" s="109"/>
      <c r="EV973" s="110"/>
      <c r="EW973" s="109"/>
      <c r="EX973" s="111"/>
      <c r="EY973" s="109"/>
      <c r="EZ973" s="109"/>
      <c r="FA973" s="110"/>
      <c r="FB973" s="109"/>
      <c r="FC973" s="111"/>
      <c r="FD973" s="109"/>
      <c r="FE973" s="109"/>
      <c r="FF973" s="110"/>
      <c r="FG973" s="109"/>
      <c r="FH973" s="111"/>
      <c r="FI973" s="109"/>
      <c r="FJ973" s="109"/>
      <c r="FK973" s="110"/>
      <c r="FL973" s="109"/>
      <c r="FM973" s="111"/>
      <c r="FN973" s="109"/>
      <c r="FO973" s="109"/>
      <c r="FP973" s="110"/>
      <c r="FQ973" s="109"/>
      <c r="FR973" s="111"/>
      <c r="FS973" s="109"/>
      <c r="FT973" s="109"/>
      <c r="FU973" s="110"/>
      <c r="FV973" s="109"/>
      <c r="FW973" s="111"/>
      <c r="FX973" s="109"/>
      <c r="FY973" s="109"/>
      <c r="FZ973" s="110"/>
      <c r="GA973" s="109"/>
      <c r="GB973" s="111"/>
      <c r="GC973" s="109"/>
      <c r="GD973" s="109"/>
      <c r="GE973" s="110"/>
      <c r="GF973" s="109"/>
      <c r="GG973" s="111"/>
      <c r="GH973" s="109"/>
      <c r="GI973" s="109"/>
      <c r="GJ973" s="110"/>
      <c r="GK973" s="109"/>
      <c r="GL973" s="111"/>
      <c r="GM973" s="109"/>
      <c r="GN973" s="109"/>
      <c r="GO973" s="110"/>
      <c r="GP973" s="109"/>
      <c r="GQ973" s="111"/>
      <c r="GR973" s="109"/>
      <c r="GS973" s="109"/>
      <c r="GT973" s="110"/>
      <c r="GU973" s="109"/>
      <c r="GV973" s="111"/>
      <c r="GW973" s="109"/>
      <c r="GX973" s="109"/>
      <c r="GY973" s="110"/>
      <c r="GZ973" s="109"/>
      <c r="HA973" s="111"/>
      <c r="HB973" s="109"/>
      <c r="HC973" s="109"/>
      <c r="HD973" s="110"/>
      <c r="HE973" s="109"/>
      <c r="HF973" s="111"/>
      <c r="HG973" s="109"/>
      <c r="HH973" s="109"/>
      <c r="HI973" s="110"/>
      <c r="HJ973" s="109"/>
      <c r="HK973" s="111"/>
      <c r="HL973" s="109"/>
      <c r="HM973" s="109"/>
      <c r="HN973" s="110"/>
      <c r="HO973" s="109"/>
      <c r="HP973" s="111"/>
      <c r="HQ973" s="109"/>
      <c r="HR973" s="109"/>
      <c r="HS973" s="110"/>
      <c r="HT973" s="109"/>
      <c r="HU973" s="111"/>
      <c r="HV973" s="109"/>
      <c r="HW973" s="109"/>
      <c r="HX973" s="110"/>
      <c r="HY973" s="109"/>
      <c r="HZ973" s="111"/>
      <c r="IA973" s="109"/>
      <c r="IB973" s="109"/>
      <c r="IC973" s="110"/>
      <c r="ID973" s="109"/>
      <c r="IE973" s="111"/>
      <c r="IF973" s="109"/>
      <c r="IG973" s="109"/>
      <c r="IH973" s="110"/>
      <c r="II973" s="109"/>
      <c r="IJ973" s="111"/>
      <c r="IK973" s="109"/>
      <c r="IL973" s="109"/>
      <c r="IM973" s="110"/>
      <c r="IN973" s="109"/>
      <c r="IO973" s="111"/>
      <c r="IP973" s="109"/>
      <c r="IQ973" s="109"/>
      <c r="IR973" s="110"/>
      <c r="IS973" s="109"/>
      <c r="IT973" s="111"/>
      <c r="IU973" s="109"/>
      <c r="IV973" s="109"/>
    </row>
    <row r="974" spans="1:256" s="123" customFormat="1" ht="14.25">
      <c r="A974" s="134">
        <v>37266</v>
      </c>
      <c r="B974" s="111">
        <v>89.451</v>
      </c>
      <c r="C974" s="111">
        <f t="shared" si="16"/>
        <v>0.08945099999999999</v>
      </c>
      <c r="D974" s="111">
        <v>53.9512</v>
      </c>
      <c r="E974" s="111">
        <v>60.4766</v>
      </c>
      <c r="F974" s="132"/>
      <c r="G974"/>
      <c r="H974" s="109"/>
      <c r="I974" s="111"/>
      <c r="J974" s="109"/>
      <c r="K974" s="109"/>
      <c r="L974" s="110"/>
      <c r="M974" s="109"/>
      <c r="N974" s="111"/>
      <c r="O974" s="109"/>
      <c r="P974" s="109"/>
      <c r="Q974" s="110"/>
      <c r="R974" s="109"/>
      <c r="S974" s="111"/>
      <c r="T974" s="109"/>
      <c r="U974" s="109"/>
      <c r="V974" s="110"/>
      <c r="W974" s="109"/>
      <c r="X974" s="111"/>
      <c r="Y974" s="109"/>
      <c r="Z974" s="109"/>
      <c r="AA974" s="110"/>
      <c r="AB974" s="109"/>
      <c r="AC974" s="111"/>
      <c r="AD974" s="109"/>
      <c r="AE974" s="109"/>
      <c r="AF974" s="110"/>
      <c r="AG974" s="109"/>
      <c r="AH974" s="111"/>
      <c r="AI974" s="109"/>
      <c r="AJ974" s="109"/>
      <c r="AK974" s="110"/>
      <c r="AL974" s="109"/>
      <c r="AM974" s="111"/>
      <c r="AN974" s="109"/>
      <c r="AO974" s="109"/>
      <c r="AP974" s="110"/>
      <c r="AQ974" s="109"/>
      <c r="AR974" s="111"/>
      <c r="AS974" s="109"/>
      <c r="AT974" s="109"/>
      <c r="AU974" s="110"/>
      <c r="AV974" s="109"/>
      <c r="AW974" s="111"/>
      <c r="AX974" s="109"/>
      <c r="AY974" s="109"/>
      <c r="AZ974" s="110"/>
      <c r="BA974" s="109"/>
      <c r="BB974" s="111"/>
      <c r="BC974" s="109"/>
      <c r="BD974" s="109"/>
      <c r="BE974" s="110"/>
      <c r="BF974" s="109"/>
      <c r="BG974" s="111"/>
      <c r="BH974" s="109"/>
      <c r="BI974" s="109"/>
      <c r="BJ974" s="110"/>
      <c r="BK974" s="109"/>
      <c r="BL974" s="111"/>
      <c r="BM974" s="109"/>
      <c r="BN974" s="109"/>
      <c r="BO974" s="110"/>
      <c r="BP974" s="109"/>
      <c r="BQ974" s="111"/>
      <c r="BR974" s="109"/>
      <c r="BS974" s="109"/>
      <c r="BT974" s="110"/>
      <c r="BU974" s="109"/>
      <c r="BV974" s="111"/>
      <c r="BW974" s="109"/>
      <c r="BX974" s="109"/>
      <c r="BY974" s="110"/>
      <c r="BZ974" s="109"/>
      <c r="CA974" s="111"/>
      <c r="CB974" s="109"/>
      <c r="CC974" s="109"/>
      <c r="CD974" s="110"/>
      <c r="CE974" s="109"/>
      <c r="CF974" s="111"/>
      <c r="CG974" s="109"/>
      <c r="CH974" s="109"/>
      <c r="CI974" s="110"/>
      <c r="CJ974" s="109"/>
      <c r="CK974" s="111"/>
      <c r="CL974" s="109"/>
      <c r="CM974" s="109"/>
      <c r="CN974" s="110"/>
      <c r="CO974" s="109"/>
      <c r="CP974" s="111"/>
      <c r="CQ974" s="109"/>
      <c r="CR974" s="109"/>
      <c r="CS974" s="110"/>
      <c r="CT974" s="109"/>
      <c r="CU974" s="111"/>
      <c r="CV974" s="109"/>
      <c r="CW974" s="109"/>
      <c r="CX974" s="110"/>
      <c r="CY974" s="109"/>
      <c r="CZ974" s="111"/>
      <c r="DA974" s="109"/>
      <c r="DB974" s="109"/>
      <c r="DC974" s="110"/>
      <c r="DD974" s="109"/>
      <c r="DE974" s="111"/>
      <c r="DF974" s="109"/>
      <c r="DG974" s="109"/>
      <c r="DH974" s="110"/>
      <c r="DI974" s="109"/>
      <c r="DJ974" s="111"/>
      <c r="DK974" s="109"/>
      <c r="DL974" s="109"/>
      <c r="DM974" s="110"/>
      <c r="DN974" s="109"/>
      <c r="DO974" s="111"/>
      <c r="DP974" s="109"/>
      <c r="DQ974" s="109"/>
      <c r="DR974" s="110"/>
      <c r="DS974" s="109"/>
      <c r="DT974" s="111"/>
      <c r="DU974" s="109"/>
      <c r="DV974" s="109"/>
      <c r="DW974" s="110"/>
      <c r="DX974" s="109"/>
      <c r="DY974" s="111"/>
      <c r="DZ974" s="109"/>
      <c r="EA974" s="109"/>
      <c r="EB974" s="110"/>
      <c r="EC974" s="109"/>
      <c r="ED974" s="111"/>
      <c r="EE974" s="109"/>
      <c r="EF974" s="109"/>
      <c r="EG974" s="110"/>
      <c r="EH974" s="109"/>
      <c r="EI974" s="111"/>
      <c r="EJ974" s="109"/>
      <c r="EK974" s="109"/>
      <c r="EL974" s="110"/>
      <c r="EM974" s="109"/>
      <c r="EN974" s="111"/>
      <c r="EO974" s="109"/>
      <c r="EP974" s="109"/>
      <c r="EQ974" s="110"/>
      <c r="ER974" s="109"/>
      <c r="ES974" s="111"/>
      <c r="ET974" s="109"/>
      <c r="EU974" s="109"/>
      <c r="EV974" s="110"/>
      <c r="EW974" s="109"/>
      <c r="EX974" s="111"/>
      <c r="EY974" s="109"/>
      <c r="EZ974" s="109"/>
      <c r="FA974" s="110"/>
      <c r="FB974" s="109"/>
      <c r="FC974" s="111"/>
      <c r="FD974" s="109"/>
      <c r="FE974" s="109"/>
      <c r="FF974" s="110"/>
      <c r="FG974" s="109"/>
      <c r="FH974" s="111"/>
      <c r="FI974" s="109"/>
      <c r="FJ974" s="109"/>
      <c r="FK974" s="110"/>
      <c r="FL974" s="109"/>
      <c r="FM974" s="111"/>
      <c r="FN974" s="109"/>
      <c r="FO974" s="109"/>
      <c r="FP974" s="110"/>
      <c r="FQ974" s="109"/>
      <c r="FR974" s="111"/>
      <c r="FS974" s="109"/>
      <c r="FT974" s="109"/>
      <c r="FU974" s="110"/>
      <c r="FV974" s="109"/>
      <c r="FW974" s="111"/>
      <c r="FX974" s="109"/>
      <c r="FY974" s="109"/>
      <c r="FZ974" s="110"/>
      <c r="GA974" s="109"/>
      <c r="GB974" s="111"/>
      <c r="GC974" s="109"/>
      <c r="GD974" s="109"/>
      <c r="GE974" s="110"/>
      <c r="GF974" s="109"/>
      <c r="GG974" s="111"/>
      <c r="GH974" s="109"/>
      <c r="GI974" s="109"/>
      <c r="GJ974" s="110"/>
      <c r="GK974" s="109"/>
      <c r="GL974" s="111"/>
      <c r="GM974" s="109"/>
      <c r="GN974" s="109"/>
      <c r="GO974" s="110"/>
      <c r="GP974" s="109"/>
      <c r="GQ974" s="111"/>
      <c r="GR974" s="109"/>
      <c r="GS974" s="109"/>
      <c r="GT974" s="110"/>
      <c r="GU974" s="109"/>
      <c r="GV974" s="111"/>
      <c r="GW974" s="109"/>
      <c r="GX974" s="109"/>
      <c r="GY974" s="110"/>
      <c r="GZ974" s="109"/>
      <c r="HA974" s="111"/>
      <c r="HB974" s="109"/>
      <c r="HC974" s="109"/>
      <c r="HD974" s="110"/>
      <c r="HE974" s="109"/>
      <c r="HF974" s="111"/>
      <c r="HG974" s="109"/>
      <c r="HH974" s="109"/>
      <c r="HI974" s="110"/>
      <c r="HJ974" s="109"/>
      <c r="HK974" s="111"/>
      <c r="HL974" s="109"/>
      <c r="HM974" s="109"/>
      <c r="HN974" s="110"/>
      <c r="HO974" s="109"/>
      <c r="HP974" s="111"/>
      <c r="HQ974" s="109"/>
      <c r="HR974" s="109"/>
      <c r="HS974" s="110"/>
      <c r="HT974" s="109"/>
      <c r="HU974" s="111"/>
      <c r="HV974" s="109"/>
      <c r="HW974" s="109"/>
      <c r="HX974" s="110"/>
      <c r="HY974" s="109"/>
      <c r="HZ974" s="111"/>
      <c r="IA974" s="109"/>
      <c r="IB974" s="109"/>
      <c r="IC974" s="110"/>
      <c r="ID974" s="109"/>
      <c r="IE974" s="111"/>
      <c r="IF974" s="109"/>
      <c r="IG974" s="109"/>
      <c r="IH974" s="110"/>
      <c r="II974" s="109"/>
      <c r="IJ974" s="111"/>
      <c r="IK974" s="109"/>
      <c r="IL974" s="109"/>
      <c r="IM974" s="110"/>
      <c r="IN974" s="109"/>
      <c r="IO974" s="111"/>
      <c r="IP974" s="109"/>
      <c r="IQ974" s="109"/>
      <c r="IR974" s="110"/>
      <c r="IS974" s="109"/>
      <c r="IT974" s="111"/>
      <c r="IU974" s="109"/>
      <c r="IV974" s="109"/>
    </row>
    <row r="975" spans="1:256" s="123" customFormat="1" ht="14.25">
      <c r="A975" s="134">
        <v>37267</v>
      </c>
      <c r="B975" s="111">
        <v>78.8554</v>
      </c>
      <c r="C975" s="111">
        <f t="shared" si="16"/>
        <v>0.0788554</v>
      </c>
      <c r="D975" s="111">
        <v>47.3621</v>
      </c>
      <c r="E975" s="111">
        <v>53.1621</v>
      </c>
      <c r="F975" s="132"/>
      <c r="G975"/>
      <c r="H975" s="109"/>
      <c r="I975" s="111"/>
      <c r="J975" s="109"/>
      <c r="K975" s="109"/>
      <c r="L975" s="110"/>
      <c r="M975" s="109"/>
      <c r="N975" s="111"/>
      <c r="O975" s="109"/>
      <c r="P975" s="109"/>
      <c r="Q975" s="110"/>
      <c r="R975" s="109"/>
      <c r="S975" s="111"/>
      <c r="T975" s="109"/>
      <c r="U975" s="109"/>
      <c r="V975" s="110"/>
      <c r="W975" s="109"/>
      <c r="X975" s="111"/>
      <c r="Y975" s="109"/>
      <c r="Z975" s="109"/>
      <c r="AA975" s="110"/>
      <c r="AB975" s="109"/>
      <c r="AC975" s="111"/>
      <c r="AD975" s="109"/>
      <c r="AE975" s="109"/>
      <c r="AF975" s="110"/>
      <c r="AG975" s="109"/>
      <c r="AH975" s="111"/>
      <c r="AI975" s="109"/>
      <c r="AJ975" s="109"/>
      <c r="AK975" s="110"/>
      <c r="AL975" s="109"/>
      <c r="AM975" s="111"/>
      <c r="AN975" s="109"/>
      <c r="AO975" s="109"/>
      <c r="AP975" s="110"/>
      <c r="AQ975" s="109"/>
      <c r="AR975" s="111"/>
      <c r="AS975" s="109"/>
      <c r="AT975" s="109"/>
      <c r="AU975" s="110"/>
      <c r="AV975" s="109"/>
      <c r="AW975" s="111"/>
      <c r="AX975" s="109"/>
      <c r="AY975" s="109"/>
      <c r="AZ975" s="110"/>
      <c r="BA975" s="109"/>
      <c r="BB975" s="111"/>
      <c r="BC975" s="109"/>
      <c r="BD975" s="109"/>
      <c r="BE975" s="110"/>
      <c r="BF975" s="109"/>
      <c r="BG975" s="111"/>
      <c r="BH975" s="109"/>
      <c r="BI975" s="109"/>
      <c r="BJ975" s="110"/>
      <c r="BK975" s="109"/>
      <c r="BL975" s="111"/>
      <c r="BM975" s="109"/>
      <c r="BN975" s="109"/>
      <c r="BO975" s="110"/>
      <c r="BP975" s="109"/>
      <c r="BQ975" s="111"/>
      <c r="BR975" s="109"/>
      <c r="BS975" s="109"/>
      <c r="BT975" s="110"/>
      <c r="BU975" s="109"/>
      <c r="BV975" s="111"/>
      <c r="BW975" s="109"/>
      <c r="BX975" s="109"/>
      <c r="BY975" s="110"/>
      <c r="BZ975" s="109"/>
      <c r="CA975" s="111"/>
      <c r="CB975" s="109"/>
      <c r="CC975" s="109"/>
      <c r="CD975" s="110"/>
      <c r="CE975" s="109"/>
      <c r="CF975" s="111"/>
      <c r="CG975" s="109"/>
      <c r="CH975" s="109"/>
      <c r="CI975" s="110"/>
      <c r="CJ975" s="109"/>
      <c r="CK975" s="111"/>
      <c r="CL975" s="109"/>
      <c r="CM975" s="109"/>
      <c r="CN975" s="110"/>
      <c r="CO975" s="109"/>
      <c r="CP975" s="111"/>
      <c r="CQ975" s="109"/>
      <c r="CR975" s="109"/>
      <c r="CS975" s="110"/>
      <c r="CT975" s="109"/>
      <c r="CU975" s="111"/>
      <c r="CV975" s="109"/>
      <c r="CW975" s="109"/>
      <c r="CX975" s="110"/>
      <c r="CY975" s="109"/>
      <c r="CZ975" s="111"/>
      <c r="DA975" s="109"/>
      <c r="DB975" s="109"/>
      <c r="DC975" s="110"/>
      <c r="DD975" s="109"/>
      <c r="DE975" s="111"/>
      <c r="DF975" s="109"/>
      <c r="DG975" s="109"/>
      <c r="DH975" s="110"/>
      <c r="DI975" s="109"/>
      <c r="DJ975" s="111"/>
      <c r="DK975" s="109"/>
      <c r="DL975" s="109"/>
      <c r="DM975" s="110"/>
      <c r="DN975" s="109"/>
      <c r="DO975" s="111"/>
      <c r="DP975" s="109"/>
      <c r="DQ975" s="109"/>
      <c r="DR975" s="110"/>
      <c r="DS975" s="109"/>
      <c r="DT975" s="111"/>
      <c r="DU975" s="109"/>
      <c r="DV975" s="109"/>
      <c r="DW975" s="110"/>
      <c r="DX975" s="109"/>
      <c r="DY975" s="111"/>
      <c r="DZ975" s="109"/>
      <c r="EA975" s="109"/>
      <c r="EB975" s="110"/>
      <c r="EC975" s="109"/>
      <c r="ED975" s="111"/>
      <c r="EE975" s="109"/>
      <c r="EF975" s="109"/>
      <c r="EG975" s="110"/>
      <c r="EH975" s="109"/>
      <c r="EI975" s="111"/>
      <c r="EJ975" s="109"/>
      <c r="EK975" s="109"/>
      <c r="EL975" s="110"/>
      <c r="EM975" s="109"/>
      <c r="EN975" s="111"/>
      <c r="EO975" s="109"/>
      <c r="EP975" s="109"/>
      <c r="EQ975" s="110"/>
      <c r="ER975" s="109"/>
      <c r="ES975" s="111"/>
      <c r="ET975" s="109"/>
      <c r="EU975" s="109"/>
      <c r="EV975" s="110"/>
      <c r="EW975" s="109"/>
      <c r="EX975" s="111"/>
      <c r="EY975" s="109"/>
      <c r="EZ975" s="109"/>
      <c r="FA975" s="110"/>
      <c r="FB975" s="109"/>
      <c r="FC975" s="111"/>
      <c r="FD975" s="109"/>
      <c r="FE975" s="109"/>
      <c r="FF975" s="110"/>
      <c r="FG975" s="109"/>
      <c r="FH975" s="111"/>
      <c r="FI975" s="109"/>
      <c r="FJ975" s="109"/>
      <c r="FK975" s="110"/>
      <c r="FL975" s="109"/>
      <c r="FM975" s="111"/>
      <c r="FN975" s="109"/>
      <c r="FO975" s="109"/>
      <c r="FP975" s="110"/>
      <c r="FQ975" s="109"/>
      <c r="FR975" s="111"/>
      <c r="FS975" s="109"/>
      <c r="FT975" s="109"/>
      <c r="FU975" s="110"/>
      <c r="FV975" s="109"/>
      <c r="FW975" s="111"/>
      <c r="FX975" s="109"/>
      <c r="FY975" s="109"/>
      <c r="FZ975" s="110"/>
      <c r="GA975" s="109"/>
      <c r="GB975" s="111"/>
      <c r="GC975" s="109"/>
      <c r="GD975" s="109"/>
      <c r="GE975" s="110"/>
      <c r="GF975" s="109"/>
      <c r="GG975" s="111"/>
      <c r="GH975" s="109"/>
      <c r="GI975" s="109"/>
      <c r="GJ975" s="110"/>
      <c r="GK975" s="109"/>
      <c r="GL975" s="111"/>
      <c r="GM975" s="109"/>
      <c r="GN975" s="109"/>
      <c r="GO975" s="110"/>
      <c r="GP975" s="109"/>
      <c r="GQ975" s="111"/>
      <c r="GR975" s="109"/>
      <c r="GS975" s="109"/>
      <c r="GT975" s="110"/>
      <c r="GU975" s="109"/>
      <c r="GV975" s="111"/>
      <c r="GW975" s="109"/>
      <c r="GX975" s="109"/>
      <c r="GY975" s="110"/>
      <c r="GZ975" s="109"/>
      <c r="HA975" s="111"/>
      <c r="HB975" s="109"/>
      <c r="HC975" s="109"/>
      <c r="HD975" s="110"/>
      <c r="HE975" s="109"/>
      <c r="HF975" s="111"/>
      <c r="HG975" s="109"/>
      <c r="HH975" s="109"/>
      <c r="HI975" s="110"/>
      <c r="HJ975" s="109"/>
      <c r="HK975" s="111"/>
      <c r="HL975" s="109"/>
      <c r="HM975" s="109"/>
      <c r="HN975" s="110"/>
      <c r="HO975" s="109"/>
      <c r="HP975" s="111"/>
      <c r="HQ975" s="109"/>
      <c r="HR975" s="109"/>
      <c r="HS975" s="110"/>
      <c r="HT975" s="109"/>
      <c r="HU975" s="111"/>
      <c r="HV975" s="109"/>
      <c r="HW975" s="109"/>
      <c r="HX975" s="110"/>
      <c r="HY975" s="109"/>
      <c r="HZ975" s="111"/>
      <c r="IA975" s="109"/>
      <c r="IB975" s="109"/>
      <c r="IC975" s="110"/>
      <c r="ID975" s="109"/>
      <c r="IE975" s="111"/>
      <c r="IF975" s="109"/>
      <c r="IG975" s="109"/>
      <c r="IH975" s="110"/>
      <c r="II975" s="109"/>
      <c r="IJ975" s="111"/>
      <c r="IK975" s="109"/>
      <c r="IL975" s="109"/>
      <c r="IM975" s="110"/>
      <c r="IN975" s="109"/>
      <c r="IO975" s="111"/>
      <c r="IP975" s="109"/>
      <c r="IQ975" s="109"/>
      <c r="IR975" s="110"/>
      <c r="IS975" s="109"/>
      <c r="IT975" s="111"/>
      <c r="IU975" s="109"/>
      <c r="IV975" s="109"/>
    </row>
    <row r="976" spans="1:256" s="123" customFormat="1" ht="14.25">
      <c r="A976" s="134">
        <v>37270</v>
      </c>
      <c r="B976" s="111">
        <v>76.1681</v>
      </c>
      <c r="C976" s="111">
        <f t="shared" si="16"/>
        <v>0.0761681</v>
      </c>
      <c r="D976" s="111">
        <v>45.9171</v>
      </c>
      <c r="E976" s="111">
        <v>51.4823</v>
      </c>
      <c r="F976" s="132"/>
      <c r="G976"/>
      <c r="H976" s="109"/>
      <c r="I976" s="111"/>
      <c r="J976" s="109"/>
      <c r="K976" s="109"/>
      <c r="L976" s="110"/>
      <c r="M976" s="109"/>
      <c r="N976" s="111"/>
      <c r="O976" s="109"/>
      <c r="P976" s="109"/>
      <c r="Q976" s="110"/>
      <c r="R976" s="109"/>
      <c r="S976" s="111"/>
      <c r="T976" s="109"/>
      <c r="U976" s="109"/>
      <c r="V976" s="110"/>
      <c r="W976" s="109"/>
      <c r="X976" s="111"/>
      <c r="Y976" s="109"/>
      <c r="Z976" s="109"/>
      <c r="AA976" s="110"/>
      <c r="AB976" s="109"/>
      <c r="AC976" s="111"/>
      <c r="AD976" s="109"/>
      <c r="AE976" s="109"/>
      <c r="AF976" s="110"/>
      <c r="AG976" s="109"/>
      <c r="AH976" s="111"/>
      <c r="AI976" s="109"/>
      <c r="AJ976" s="109"/>
      <c r="AK976" s="110"/>
      <c r="AL976" s="109"/>
      <c r="AM976" s="111"/>
      <c r="AN976" s="109"/>
      <c r="AO976" s="109"/>
      <c r="AP976" s="110"/>
      <c r="AQ976" s="109"/>
      <c r="AR976" s="111"/>
      <c r="AS976" s="109"/>
      <c r="AT976" s="109"/>
      <c r="AU976" s="110"/>
      <c r="AV976" s="109"/>
      <c r="AW976" s="111"/>
      <c r="AX976" s="109"/>
      <c r="AY976" s="109"/>
      <c r="AZ976" s="110"/>
      <c r="BA976" s="109"/>
      <c r="BB976" s="111"/>
      <c r="BC976" s="109"/>
      <c r="BD976" s="109"/>
      <c r="BE976" s="110"/>
      <c r="BF976" s="109"/>
      <c r="BG976" s="111"/>
      <c r="BH976" s="109"/>
      <c r="BI976" s="109"/>
      <c r="BJ976" s="110"/>
      <c r="BK976" s="109"/>
      <c r="BL976" s="111"/>
      <c r="BM976" s="109"/>
      <c r="BN976" s="109"/>
      <c r="BO976" s="110"/>
      <c r="BP976" s="109"/>
      <c r="BQ976" s="111"/>
      <c r="BR976" s="109"/>
      <c r="BS976" s="109"/>
      <c r="BT976" s="110"/>
      <c r="BU976" s="109"/>
      <c r="BV976" s="111"/>
      <c r="BW976" s="109"/>
      <c r="BX976" s="109"/>
      <c r="BY976" s="110"/>
      <c r="BZ976" s="109"/>
      <c r="CA976" s="111"/>
      <c r="CB976" s="109"/>
      <c r="CC976" s="109"/>
      <c r="CD976" s="110"/>
      <c r="CE976" s="109"/>
      <c r="CF976" s="111"/>
      <c r="CG976" s="109"/>
      <c r="CH976" s="109"/>
      <c r="CI976" s="110"/>
      <c r="CJ976" s="109"/>
      <c r="CK976" s="111"/>
      <c r="CL976" s="109"/>
      <c r="CM976" s="109"/>
      <c r="CN976" s="110"/>
      <c r="CO976" s="109"/>
      <c r="CP976" s="111"/>
      <c r="CQ976" s="109"/>
      <c r="CR976" s="109"/>
      <c r="CS976" s="110"/>
      <c r="CT976" s="109"/>
      <c r="CU976" s="111"/>
      <c r="CV976" s="109"/>
      <c r="CW976" s="109"/>
      <c r="CX976" s="110"/>
      <c r="CY976" s="109"/>
      <c r="CZ976" s="111"/>
      <c r="DA976" s="109"/>
      <c r="DB976" s="109"/>
      <c r="DC976" s="110"/>
      <c r="DD976" s="109"/>
      <c r="DE976" s="111"/>
      <c r="DF976" s="109"/>
      <c r="DG976" s="109"/>
      <c r="DH976" s="110"/>
      <c r="DI976" s="109"/>
      <c r="DJ976" s="111"/>
      <c r="DK976" s="109"/>
      <c r="DL976" s="109"/>
      <c r="DM976" s="110"/>
      <c r="DN976" s="109"/>
      <c r="DO976" s="111"/>
      <c r="DP976" s="109"/>
      <c r="DQ976" s="109"/>
      <c r="DR976" s="110"/>
      <c r="DS976" s="109"/>
      <c r="DT976" s="111"/>
      <c r="DU976" s="109"/>
      <c r="DV976" s="109"/>
      <c r="DW976" s="110"/>
      <c r="DX976" s="109"/>
      <c r="DY976" s="111"/>
      <c r="DZ976" s="109"/>
      <c r="EA976" s="109"/>
      <c r="EB976" s="110"/>
      <c r="EC976" s="109"/>
      <c r="ED976" s="111"/>
      <c r="EE976" s="109"/>
      <c r="EF976" s="109"/>
      <c r="EG976" s="110"/>
      <c r="EH976" s="109"/>
      <c r="EI976" s="111"/>
      <c r="EJ976" s="109"/>
      <c r="EK976" s="109"/>
      <c r="EL976" s="110"/>
      <c r="EM976" s="109"/>
      <c r="EN976" s="111"/>
      <c r="EO976" s="109"/>
      <c r="EP976" s="109"/>
      <c r="EQ976" s="110"/>
      <c r="ER976" s="109"/>
      <c r="ES976" s="111"/>
      <c r="ET976" s="109"/>
      <c r="EU976" s="109"/>
      <c r="EV976" s="110"/>
      <c r="EW976" s="109"/>
      <c r="EX976" s="111"/>
      <c r="EY976" s="109"/>
      <c r="EZ976" s="109"/>
      <c r="FA976" s="110"/>
      <c r="FB976" s="109"/>
      <c r="FC976" s="111"/>
      <c r="FD976" s="109"/>
      <c r="FE976" s="109"/>
      <c r="FF976" s="110"/>
      <c r="FG976" s="109"/>
      <c r="FH976" s="111"/>
      <c r="FI976" s="109"/>
      <c r="FJ976" s="109"/>
      <c r="FK976" s="110"/>
      <c r="FL976" s="109"/>
      <c r="FM976" s="111"/>
      <c r="FN976" s="109"/>
      <c r="FO976" s="109"/>
      <c r="FP976" s="110"/>
      <c r="FQ976" s="109"/>
      <c r="FR976" s="111"/>
      <c r="FS976" s="109"/>
      <c r="FT976" s="109"/>
      <c r="FU976" s="110"/>
      <c r="FV976" s="109"/>
      <c r="FW976" s="111"/>
      <c r="FX976" s="109"/>
      <c r="FY976" s="109"/>
      <c r="FZ976" s="110"/>
      <c r="GA976" s="109"/>
      <c r="GB976" s="111"/>
      <c r="GC976" s="109"/>
      <c r="GD976" s="109"/>
      <c r="GE976" s="110"/>
      <c r="GF976" s="109"/>
      <c r="GG976" s="111"/>
      <c r="GH976" s="109"/>
      <c r="GI976" s="109"/>
      <c r="GJ976" s="110"/>
      <c r="GK976" s="109"/>
      <c r="GL976" s="111"/>
      <c r="GM976" s="109"/>
      <c r="GN976" s="109"/>
      <c r="GO976" s="110"/>
      <c r="GP976" s="109"/>
      <c r="GQ976" s="111"/>
      <c r="GR976" s="109"/>
      <c r="GS976" s="109"/>
      <c r="GT976" s="110"/>
      <c r="GU976" s="109"/>
      <c r="GV976" s="111"/>
      <c r="GW976" s="109"/>
      <c r="GX976" s="109"/>
      <c r="GY976" s="110"/>
      <c r="GZ976" s="109"/>
      <c r="HA976" s="111"/>
      <c r="HB976" s="109"/>
      <c r="HC976" s="109"/>
      <c r="HD976" s="110"/>
      <c r="HE976" s="109"/>
      <c r="HF976" s="111"/>
      <c r="HG976" s="109"/>
      <c r="HH976" s="109"/>
      <c r="HI976" s="110"/>
      <c r="HJ976" s="109"/>
      <c r="HK976" s="111"/>
      <c r="HL976" s="109"/>
      <c r="HM976" s="109"/>
      <c r="HN976" s="110"/>
      <c r="HO976" s="109"/>
      <c r="HP976" s="111"/>
      <c r="HQ976" s="109"/>
      <c r="HR976" s="109"/>
      <c r="HS976" s="110"/>
      <c r="HT976" s="109"/>
      <c r="HU976" s="111"/>
      <c r="HV976" s="109"/>
      <c r="HW976" s="109"/>
      <c r="HX976" s="110"/>
      <c r="HY976" s="109"/>
      <c r="HZ976" s="111"/>
      <c r="IA976" s="109"/>
      <c r="IB976" s="109"/>
      <c r="IC976" s="110"/>
      <c r="ID976" s="109"/>
      <c r="IE976" s="111"/>
      <c r="IF976" s="109"/>
      <c r="IG976" s="109"/>
      <c r="IH976" s="110"/>
      <c r="II976" s="109"/>
      <c r="IJ976" s="111"/>
      <c r="IK976" s="109"/>
      <c r="IL976" s="109"/>
      <c r="IM976" s="110"/>
      <c r="IN976" s="109"/>
      <c r="IO976" s="111"/>
      <c r="IP976" s="109"/>
      <c r="IQ976" s="109"/>
      <c r="IR976" s="110"/>
      <c r="IS976" s="109"/>
      <c r="IT976" s="111"/>
      <c r="IU976" s="109"/>
      <c r="IV976" s="109"/>
    </row>
    <row r="977" spans="1:256" s="123" customFormat="1" ht="14.25">
      <c r="A977" s="134">
        <v>37271</v>
      </c>
      <c r="B977" s="111">
        <v>63.5205</v>
      </c>
      <c r="C977" s="111">
        <f t="shared" si="16"/>
        <v>0.0635205</v>
      </c>
      <c r="D977" s="111">
        <v>38.3374</v>
      </c>
      <c r="E977" s="111">
        <v>42.9454</v>
      </c>
      <c r="F977" s="132"/>
      <c r="G977"/>
      <c r="H977" s="109"/>
      <c r="I977" s="111"/>
      <c r="J977" s="109"/>
      <c r="K977" s="109"/>
      <c r="L977" s="110"/>
      <c r="M977" s="109"/>
      <c r="N977" s="111"/>
      <c r="O977" s="109"/>
      <c r="P977" s="109"/>
      <c r="Q977" s="110"/>
      <c r="R977" s="109"/>
      <c r="S977" s="111"/>
      <c r="T977" s="109"/>
      <c r="U977" s="109"/>
      <c r="V977" s="110"/>
      <c r="W977" s="109"/>
      <c r="X977" s="111"/>
      <c r="Y977" s="109"/>
      <c r="Z977" s="109"/>
      <c r="AA977" s="110"/>
      <c r="AB977" s="109"/>
      <c r="AC977" s="111"/>
      <c r="AD977" s="109"/>
      <c r="AE977" s="109"/>
      <c r="AF977" s="110"/>
      <c r="AG977" s="109"/>
      <c r="AH977" s="111"/>
      <c r="AI977" s="109"/>
      <c r="AJ977" s="109"/>
      <c r="AK977" s="110"/>
      <c r="AL977" s="109"/>
      <c r="AM977" s="111"/>
      <c r="AN977" s="109"/>
      <c r="AO977" s="109"/>
      <c r="AP977" s="110"/>
      <c r="AQ977" s="109"/>
      <c r="AR977" s="111"/>
      <c r="AS977" s="109"/>
      <c r="AT977" s="109"/>
      <c r="AU977" s="110"/>
      <c r="AV977" s="109"/>
      <c r="AW977" s="111"/>
      <c r="AX977" s="109"/>
      <c r="AY977" s="109"/>
      <c r="AZ977" s="110"/>
      <c r="BA977" s="109"/>
      <c r="BB977" s="111"/>
      <c r="BC977" s="109"/>
      <c r="BD977" s="109"/>
      <c r="BE977" s="110"/>
      <c r="BF977" s="109"/>
      <c r="BG977" s="111"/>
      <c r="BH977" s="109"/>
      <c r="BI977" s="109"/>
      <c r="BJ977" s="110"/>
      <c r="BK977" s="109"/>
      <c r="BL977" s="111"/>
      <c r="BM977" s="109"/>
      <c r="BN977" s="109"/>
      <c r="BO977" s="110"/>
      <c r="BP977" s="109"/>
      <c r="BQ977" s="111"/>
      <c r="BR977" s="109"/>
      <c r="BS977" s="109"/>
      <c r="BT977" s="110"/>
      <c r="BU977" s="109"/>
      <c r="BV977" s="111"/>
      <c r="BW977" s="109"/>
      <c r="BX977" s="109"/>
      <c r="BY977" s="110"/>
      <c r="BZ977" s="109"/>
      <c r="CA977" s="111"/>
      <c r="CB977" s="109"/>
      <c r="CC977" s="109"/>
      <c r="CD977" s="110"/>
      <c r="CE977" s="109"/>
      <c r="CF977" s="111"/>
      <c r="CG977" s="109"/>
      <c r="CH977" s="109"/>
      <c r="CI977" s="110"/>
      <c r="CJ977" s="109"/>
      <c r="CK977" s="111"/>
      <c r="CL977" s="109"/>
      <c r="CM977" s="109"/>
      <c r="CN977" s="110"/>
      <c r="CO977" s="109"/>
      <c r="CP977" s="111"/>
      <c r="CQ977" s="109"/>
      <c r="CR977" s="109"/>
      <c r="CS977" s="110"/>
      <c r="CT977" s="109"/>
      <c r="CU977" s="111"/>
      <c r="CV977" s="109"/>
      <c r="CW977" s="109"/>
      <c r="CX977" s="110"/>
      <c r="CY977" s="109"/>
      <c r="CZ977" s="111"/>
      <c r="DA977" s="109"/>
      <c r="DB977" s="109"/>
      <c r="DC977" s="110"/>
      <c r="DD977" s="109"/>
      <c r="DE977" s="111"/>
      <c r="DF977" s="109"/>
      <c r="DG977" s="109"/>
      <c r="DH977" s="110"/>
      <c r="DI977" s="109"/>
      <c r="DJ977" s="111"/>
      <c r="DK977" s="109"/>
      <c r="DL977" s="109"/>
      <c r="DM977" s="110"/>
      <c r="DN977" s="109"/>
      <c r="DO977" s="111"/>
      <c r="DP977" s="109"/>
      <c r="DQ977" s="109"/>
      <c r="DR977" s="110"/>
      <c r="DS977" s="109"/>
      <c r="DT977" s="111"/>
      <c r="DU977" s="109"/>
      <c r="DV977" s="109"/>
      <c r="DW977" s="110"/>
      <c r="DX977" s="109"/>
      <c r="DY977" s="111"/>
      <c r="DZ977" s="109"/>
      <c r="EA977" s="109"/>
      <c r="EB977" s="110"/>
      <c r="EC977" s="109"/>
      <c r="ED977" s="111"/>
      <c r="EE977" s="109"/>
      <c r="EF977" s="109"/>
      <c r="EG977" s="110"/>
      <c r="EH977" s="109"/>
      <c r="EI977" s="111"/>
      <c r="EJ977" s="109"/>
      <c r="EK977" s="109"/>
      <c r="EL977" s="110"/>
      <c r="EM977" s="109"/>
      <c r="EN977" s="111"/>
      <c r="EO977" s="109"/>
      <c r="EP977" s="109"/>
      <c r="EQ977" s="110"/>
      <c r="ER977" s="109"/>
      <c r="ES977" s="111"/>
      <c r="ET977" s="109"/>
      <c r="EU977" s="109"/>
      <c r="EV977" s="110"/>
      <c r="EW977" s="109"/>
      <c r="EX977" s="111"/>
      <c r="EY977" s="109"/>
      <c r="EZ977" s="109"/>
      <c r="FA977" s="110"/>
      <c r="FB977" s="109"/>
      <c r="FC977" s="111"/>
      <c r="FD977" s="109"/>
      <c r="FE977" s="109"/>
      <c r="FF977" s="110"/>
      <c r="FG977" s="109"/>
      <c r="FH977" s="111"/>
      <c r="FI977" s="109"/>
      <c r="FJ977" s="109"/>
      <c r="FK977" s="110"/>
      <c r="FL977" s="109"/>
      <c r="FM977" s="111"/>
      <c r="FN977" s="109"/>
      <c r="FO977" s="109"/>
      <c r="FP977" s="110"/>
      <c r="FQ977" s="109"/>
      <c r="FR977" s="111"/>
      <c r="FS977" s="109"/>
      <c r="FT977" s="109"/>
      <c r="FU977" s="110"/>
      <c r="FV977" s="109"/>
      <c r="FW977" s="111"/>
      <c r="FX977" s="109"/>
      <c r="FY977" s="109"/>
      <c r="FZ977" s="110"/>
      <c r="GA977" s="109"/>
      <c r="GB977" s="111"/>
      <c r="GC977" s="109"/>
      <c r="GD977" s="109"/>
      <c r="GE977" s="110"/>
      <c r="GF977" s="109"/>
      <c r="GG977" s="111"/>
      <c r="GH977" s="109"/>
      <c r="GI977" s="109"/>
      <c r="GJ977" s="110"/>
      <c r="GK977" s="109"/>
      <c r="GL977" s="111"/>
      <c r="GM977" s="109"/>
      <c r="GN977" s="109"/>
      <c r="GO977" s="110"/>
      <c r="GP977" s="109"/>
      <c r="GQ977" s="111"/>
      <c r="GR977" s="109"/>
      <c r="GS977" s="109"/>
      <c r="GT977" s="110"/>
      <c r="GU977" s="109"/>
      <c r="GV977" s="111"/>
      <c r="GW977" s="109"/>
      <c r="GX977" s="109"/>
      <c r="GY977" s="110"/>
      <c r="GZ977" s="109"/>
      <c r="HA977" s="111"/>
      <c r="HB977" s="109"/>
      <c r="HC977" s="109"/>
      <c r="HD977" s="110"/>
      <c r="HE977" s="109"/>
      <c r="HF977" s="111"/>
      <c r="HG977" s="109"/>
      <c r="HH977" s="109"/>
      <c r="HI977" s="110"/>
      <c r="HJ977" s="109"/>
      <c r="HK977" s="111"/>
      <c r="HL977" s="109"/>
      <c r="HM977" s="109"/>
      <c r="HN977" s="110"/>
      <c r="HO977" s="109"/>
      <c r="HP977" s="111"/>
      <c r="HQ977" s="109"/>
      <c r="HR977" s="109"/>
      <c r="HS977" s="110"/>
      <c r="HT977" s="109"/>
      <c r="HU977" s="111"/>
      <c r="HV977" s="109"/>
      <c r="HW977" s="109"/>
      <c r="HX977" s="110"/>
      <c r="HY977" s="109"/>
      <c r="HZ977" s="111"/>
      <c r="IA977" s="109"/>
      <c r="IB977" s="109"/>
      <c r="IC977" s="110"/>
      <c r="ID977" s="109"/>
      <c r="IE977" s="111"/>
      <c r="IF977" s="109"/>
      <c r="IG977" s="109"/>
      <c r="IH977" s="110"/>
      <c r="II977" s="109"/>
      <c r="IJ977" s="111"/>
      <c r="IK977" s="109"/>
      <c r="IL977" s="109"/>
      <c r="IM977" s="110"/>
      <c r="IN977" s="109"/>
      <c r="IO977" s="111"/>
      <c r="IP977" s="109"/>
      <c r="IQ977" s="109"/>
      <c r="IR977" s="110"/>
      <c r="IS977" s="109"/>
      <c r="IT977" s="111"/>
      <c r="IU977" s="109"/>
      <c r="IV977" s="109"/>
    </row>
    <row r="978" spans="1:256" s="123" customFormat="1" ht="14.25">
      <c r="A978" s="134">
        <v>37272</v>
      </c>
      <c r="B978" s="111">
        <v>56.4782</v>
      </c>
      <c r="C978" s="111">
        <f t="shared" si="16"/>
        <v>0.0564782</v>
      </c>
      <c r="D978" s="111">
        <v>34.0679</v>
      </c>
      <c r="E978" s="111">
        <v>38.1842</v>
      </c>
      <c r="F978" s="132"/>
      <c r="G978"/>
      <c r="H978" s="109"/>
      <c r="I978" s="111"/>
      <c r="J978" s="109"/>
      <c r="K978" s="109"/>
      <c r="L978" s="110"/>
      <c r="M978" s="109"/>
      <c r="N978" s="111"/>
      <c r="O978" s="109"/>
      <c r="P978" s="109"/>
      <c r="Q978" s="110"/>
      <c r="R978" s="109"/>
      <c r="S978" s="111"/>
      <c r="T978" s="109"/>
      <c r="U978" s="109"/>
      <c r="V978" s="110"/>
      <c r="W978" s="109"/>
      <c r="X978" s="111"/>
      <c r="Y978" s="109"/>
      <c r="Z978" s="109"/>
      <c r="AA978" s="110"/>
      <c r="AB978" s="109"/>
      <c r="AC978" s="111"/>
      <c r="AD978" s="109"/>
      <c r="AE978" s="109"/>
      <c r="AF978" s="110"/>
      <c r="AG978" s="109"/>
      <c r="AH978" s="111"/>
      <c r="AI978" s="109"/>
      <c r="AJ978" s="109"/>
      <c r="AK978" s="110"/>
      <c r="AL978" s="109"/>
      <c r="AM978" s="111"/>
      <c r="AN978" s="109"/>
      <c r="AO978" s="109"/>
      <c r="AP978" s="110"/>
      <c r="AQ978" s="109"/>
      <c r="AR978" s="111"/>
      <c r="AS978" s="109"/>
      <c r="AT978" s="109"/>
      <c r="AU978" s="110"/>
      <c r="AV978" s="109"/>
      <c r="AW978" s="111"/>
      <c r="AX978" s="109"/>
      <c r="AY978" s="109"/>
      <c r="AZ978" s="110"/>
      <c r="BA978" s="109"/>
      <c r="BB978" s="111"/>
      <c r="BC978" s="109"/>
      <c r="BD978" s="109"/>
      <c r="BE978" s="110"/>
      <c r="BF978" s="109"/>
      <c r="BG978" s="111"/>
      <c r="BH978" s="109"/>
      <c r="BI978" s="109"/>
      <c r="BJ978" s="110"/>
      <c r="BK978" s="109"/>
      <c r="BL978" s="111"/>
      <c r="BM978" s="109"/>
      <c r="BN978" s="109"/>
      <c r="BO978" s="110"/>
      <c r="BP978" s="109"/>
      <c r="BQ978" s="111"/>
      <c r="BR978" s="109"/>
      <c r="BS978" s="109"/>
      <c r="BT978" s="110"/>
      <c r="BU978" s="109"/>
      <c r="BV978" s="111"/>
      <c r="BW978" s="109"/>
      <c r="BX978" s="109"/>
      <c r="BY978" s="110"/>
      <c r="BZ978" s="109"/>
      <c r="CA978" s="111"/>
      <c r="CB978" s="109"/>
      <c r="CC978" s="109"/>
      <c r="CD978" s="110"/>
      <c r="CE978" s="109"/>
      <c r="CF978" s="111"/>
      <c r="CG978" s="109"/>
      <c r="CH978" s="109"/>
      <c r="CI978" s="110"/>
      <c r="CJ978" s="109"/>
      <c r="CK978" s="111"/>
      <c r="CL978" s="109"/>
      <c r="CM978" s="109"/>
      <c r="CN978" s="110"/>
      <c r="CO978" s="109"/>
      <c r="CP978" s="111"/>
      <c r="CQ978" s="109"/>
      <c r="CR978" s="109"/>
      <c r="CS978" s="110"/>
      <c r="CT978" s="109"/>
      <c r="CU978" s="111"/>
      <c r="CV978" s="109"/>
      <c r="CW978" s="109"/>
      <c r="CX978" s="110"/>
      <c r="CY978" s="109"/>
      <c r="CZ978" s="111"/>
      <c r="DA978" s="109"/>
      <c r="DB978" s="109"/>
      <c r="DC978" s="110"/>
      <c r="DD978" s="109"/>
      <c r="DE978" s="111"/>
      <c r="DF978" s="109"/>
      <c r="DG978" s="109"/>
      <c r="DH978" s="110"/>
      <c r="DI978" s="109"/>
      <c r="DJ978" s="111"/>
      <c r="DK978" s="109"/>
      <c r="DL978" s="109"/>
      <c r="DM978" s="110"/>
      <c r="DN978" s="109"/>
      <c r="DO978" s="111"/>
      <c r="DP978" s="109"/>
      <c r="DQ978" s="109"/>
      <c r="DR978" s="110"/>
      <c r="DS978" s="109"/>
      <c r="DT978" s="111"/>
      <c r="DU978" s="109"/>
      <c r="DV978" s="109"/>
      <c r="DW978" s="110"/>
      <c r="DX978" s="109"/>
      <c r="DY978" s="111"/>
      <c r="DZ978" s="109"/>
      <c r="EA978" s="109"/>
      <c r="EB978" s="110"/>
      <c r="EC978" s="109"/>
      <c r="ED978" s="111"/>
      <c r="EE978" s="109"/>
      <c r="EF978" s="109"/>
      <c r="EG978" s="110"/>
      <c r="EH978" s="109"/>
      <c r="EI978" s="111"/>
      <c r="EJ978" s="109"/>
      <c r="EK978" s="109"/>
      <c r="EL978" s="110"/>
      <c r="EM978" s="109"/>
      <c r="EN978" s="111"/>
      <c r="EO978" s="109"/>
      <c r="EP978" s="109"/>
      <c r="EQ978" s="110"/>
      <c r="ER978" s="109"/>
      <c r="ES978" s="111"/>
      <c r="ET978" s="109"/>
      <c r="EU978" s="109"/>
      <c r="EV978" s="110"/>
      <c r="EW978" s="109"/>
      <c r="EX978" s="111"/>
      <c r="EY978" s="109"/>
      <c r="EZ978" s="109"/>
      <c r="FA978" s="110"/>
      <c r="FB978" s="109"/>
      <c r="FC978" s="111"/>
      <c r="FD978" s="109"/>
      <c r="FE978" s="109"/>
      <c r="FF978" s="110"/>
      <c r="FG978" s="109"/>
      <c r="FH978" s="111"/>
      <c r="FI978" s="109"/>
      <c r="FJ978" s="109"/>
      <c r="FK978" s="110"/>
      <c r="FL978" s="109"/>
      <c r="FM978" s="111"/>
      <c r="FN978" s="109"/>
      <c r="FO978" s="109"/>
      <c r="FP978" s="110"/>
      <c r="FQ978" s="109"/>
      <c r="FR978" s="111"/>
      <c r="FS978" s="109"/>
      <c r="FT978" s="109"/>
      <c r="FU978" s="110"/>
      <c r="FV978" s="109"/>
      <c r="FW978" s="111"/>
      <c r="FX978" s="109"/>
      <c r="FY978" s="109"/>
      <c r="FZ978" s="110"/>
      <c r="GA978" s="109"/>
      <c r="GB978" s="111"/>
      <c r="GC978" s="109"/>
      <c r="GD978" s="109"/>
      <c r="GE978" s="110"/>
      <c r="GF978" s="109"/>
      <c r="GG978" s="111"/>
      <c r="GH978" s="109"/>
      <c r="GI978" s="109"/>
      <c r="GJ978" s="110"/>
      <c r="GK978" s="109"/>
      <c r="GL978" s="111"/>
      <c r="GM978" s="109"/>
      <c r="GN978" s="109"/>
      <c r="GO978" s="110"/>
      <c r="GP978" s="109"/>
      <c r="GQ978" s="111"/>
      <c r="GR978" s="109"/>
      <c r="GS978" s="109"/>
      <c r="GT978" s="110"/>
      <c r="GU978" s="109"/>
      <c r="GV978" s="111"/>
      <c r="GW978" s="109"/>
      <c r="GX978" s="109"/>
      <c r="GY978" s="110"/>
      <c r="GZ978" s="109"/>
      <c r="HA978" s="111"/>
      <c r="HB978" s="109"/>
      <c r="HC978" s="109"/>
      <c r="HD978" s="110"/>
      <c r="HE978" s="109"/>
      <c r="HF978" s="111"/>
      <c r="HG978" s="109"/>
      <c r="HH978" s="109"/>
      <c r="HI978" s="110"/>
      <c r="HJ978" s="109"/>
      <c r="HK978" s="111"/>
      <c r="HL978" s="109"/>
      <c r="HM978" s="109"/>
      <c r="HN978" s="110"/>
      <c r="HO978" s="109"/>
      <c r="HP978" s="111"/>
      <c r="HQ978" s="109"/>
      <c r="HR978" s="109"/>
      <c r="HS978" s="110"/>
      <c r="HT978" s="109"/>
      <c r="HU978" s="111"/>
      <c r="HV978" s="109"/>
      <c r="HW978" s="109"/>
      <c r="HX978" s="110"/>
      <c r="HY978" s="109"/>
      <c r="HZ978" s="111"/>
      <c r="IA978" s="109"/>
      <c r="IB978" s="109"/>
      <c r="IC978" s="110"/>
      <c r="ID978" s="109"/>
      <c r="IE978" s="111"/>
      <c r="IF978" s="109"/>
      <c r="IG978" s="109"/>
      <c r="IH978" s="110"/>
      <c r="II978" s="109"/>
      <c r="IJ978" s="111"/>
      <c r="IK978" s="109"/>
      <c r="IL978" s="109"/>
      <c r="IM978" s="110"/>
      <c r="IN978" s="109"/>
      <c r="IO978" s="111"/>
      <c r="IP978" s="109"/>
      <c r="IQ978" s="109"/>
      <c r="IR978" s="110"/>
      <c r="IS978" s="109"/>
      <c r="IT978" s="111"/>
      <c r="IU978" s="109"/>
      <c r="IV978" s="109"/>
    </row>
    <row r="979" spans="1:256" s="123" customFormat="1" ht="14.25">
      <c r="A979" s="134">
        <v>37273</v>
      </c>
      <c r="B979" s="111">
        <v>56.9823</v>
      </c>
      <c r="C979" s="111">
        <f t="shared" si="16"/>
        <v>0.05698230000000001</v>
      </c>
      <c r="D979" s="111">
        <v>34.1661</v>
      </c>
      <c r="E979" s="111">
        <v>38.7503</v>
      </c>
      <c r="F979" s="132"/>
      <c r="G979"/>
      <c r="H979" s="109"/>
      <c r="I979" s="111"/>
      <c r="J979" s="109"/>
      <c r="K979" s="109"/>
      <c r="L979" s="110"/>
      <c r="M979" s="109"/>
      <c r="N979" s="111"/>
      <c r="O979" s="109"/>
      <c r="P979" s="109"/>
      <c r="Q979" s="110"/>
      <c r="R979" s="109"/>
      <c r="S979" s="111"/>
      <c r="T979" s="109"/>
      <c r="U979" s="109"/>
      <c r="V979" s="110"/>
      <c r="W979" s="109"/>
      <c r="X979" s="111"/>
      <c r="Y979" s="109"/>
      <c r="Z979" s="109"/>
      <c r="AA979" s="110"/>
      <c r="AB979" s="109"/>
      <c r="AC979" s="111"/>
      <c r="AD979" s="109"/>
      <c r="AE979" s="109"/>
      <c r="AF979" s="110"/>
      <c r="AG979" s="109"/>
      <c r="AH979" s="111"/>
      <c r="AI979" s="109"/>
      <c r="AJ979" s="109"/>
      <c r="AK979" s="110"/>
      <c r="AL979" s="109"/>
      <c r="AM979" s="111"/>
      <c r="AN979" s="109"/>
      <c r="AO979" s="109"/>
      <c r="AP979" s="110"/>
      <c r="AQ979" s="109"/>
      <c r="AR979" s="111"/>
      <c r="AS979" s="109"/>
      <c r="AT979" s="109"/>
      <c r="AU979" s="110"/>
      <c r="AV979" s="109"/>
      <c r="AW979" s="111"/>
      <c r="AX979" s="109"/>
      <c r="AY979" s="109"/>
      <c r="AZ979" s="110"/>
      <c r="BA979" s="109"/>
      <c r="BB979" s="111"/>
      <c r="BC979" s="109"/>
      <c r="BD979" s="109"/>
      <c r="BE979" s="110"/>
      <c r="BF979" s="109"/>
      <c r="BG979" s="111"/>
      <c r="BH979" s="109"/>
      <c r="BI979" s="109"/>
      <c r="BJ979" s="110"/>
      <c r="BK979" s="109"/>
      <c r="BL979" s="111"/>
      <c r="BM979" s="109"/>
      <c r="BN979" s="109"/>
      <c r="BO979" s="110"/>
      <c r="BP979" s="109"/>
      <c r="BQ979" s="111"/>
      <c r="BR979" s="109"/>
      <c r="BS979" s="109"/>
      <c r="BT979" s="110"/>
      <c r="BU979" s="109"/>
      <c r="BV979" s="111"/>
      <c r="BW979" s="109"/>
      <c r="BX979" s="109"/>
      <c r="BY979" s="110"/>
      <c r="BZ979" s="109"/>
      <c r="CA979" s="111"/>
      <c r="CB979" s="109"/>
      <c r="CC979" s="109"/>
      <c r="CD979" s="110"/>
      <c r="CE979" s="109"/>
      <c r="CF979" s="111"/>
      <c r="CG979" s="109"/>
      <c r="CH979" s="109"/>
      <c r="CI979" s="110"/>
      <c r="CJ979" s="109"/>
      <c r="CK979" s="111"/>
      <c r="CL979" s="109"/>
      <c r="CM979" s="109"/>
      <c r="CN979" s="110"/>
      <c r="CO979" s="109"/>
      <c r="CP979" s="111"/>
      <c r="CQ979" s="109"/>
      <c r="CR979" s="109"/>
      <c r="CS979" s="110"/>
      <c r="CT979" s="109"/>
      <c r="CU979" s="111"/>
      <c r="CV979" s="109"/>
      <c r="CW979" s="109"/>
      <c r="CX979" s="110"/>
      <c r="CY979" s="109"/>
      <c r="CZ979" s="111"/>
      <c r="DA979" s="109"/>
      <c r="DB979" s="109"/>
      <c r="DC979" s="110"/>
      <c r="DD979" s="109"/>
      <c r="DE979" s="111"/>
      <c r="DF979" s="109"/>
      <c r="DG979" s="109"/>
      <c r="DH979" s="110"/>
      <c r="DI979" s="109"/>
      <c r="DJ979" s="111"/>
      <c r="DK979" s="109"/>
      <c r="DL979" s="109"/>
      <c r="DM979" s="110"/>
      <c r="DN979" s="109"/>
      <c r="DO979" s="111"/>
      <c r="DP979" s="109"/>
      <c r="DQ979" s="109"/>
      <c r="DR979" s="110"/>
      <c r="DS979" s="109"/>
      <c r="DT979" s="111"/>
      <c r="DU979" s="109"/>
      <c r="DV979" s="109"/>
      <c r="DW979" s="110"/>
      <c r="DX979" s="109"/>
      <c r="DY979" s="111"/>
      <c r="DZ979" s="109"/>
      <c r="EA979" s="109"/>
      <c r="EB979" s="110"/>
      <c r="EC979" s="109"/>
      <c r="ED979" s="111"/>
      <c r="EE979" s="109"/>
      <c r="EF979" s="109"/>
      <c r="EG979" s="110"/>
      <c r="EH979" s="109"/>
      <c r="EI979" s="111"/>
      <c r="EJ979" s="109"/>
      <c r="EK979" s="109"/>
      <c r="EL979" s="110"/>
      <c r="EM979" s="109"/>
      <c r="EN979" s="111"/>
      <c r="EO979" s="109"/>
      <c r="EP979" s="109"/>
      <c r="EQ979" s="110"/>
      <c r="ER979" s="109"/>
      <c r="ES979" s="111"/>
      <c r="ET979" s="109"/>
      <c r="EU979" s="109"/>
      <c r="EV979" s="110"/>
      <c r="EW979" s="109"/>
      <c r="EX979" s="111"/>
      <c r="EY979" s="109"/>
      <c r="EZ979" s="109"/>
      <c r="FA979" s="110"/>
      <c r="FB979" s="109"/>
      <c r="FC979" s="111"/>
      <c r="FD979" s="109"/>
      <c r="FE979" s="109"/>
      <c r="FF979" s="110"/>
      <c r="FG979" s="109"/>
      <c r="FH979" s="111"/>
      <c r="FI979" s="109"/>
      <c r="FJ979" s="109"/>
      <c r="FK979" s="110"/>
      <c r="FL979" s="109"/>
      <c r="FM979" s="111"/>
      <c r="FN979" s="109"/>
      <c r="FO979" s="109"/>
      <c r="FP979" s="110"/>
      <c r="FQ979" s="109"/>
      <c r="FR979" s="111"/>
      <c r="FS979" s="109"/>
      <c r="FT979" s="109"/>
      <c r="FU979" s="110"/>
      <c r="FV979" s="109"/>
      <c r="FW979" s="111"/>
      <c r="FX979" s="109"/>
      <c r="FY979" s="109"/>
      <c r="FZ979" s="110"/>
      <c r="GA979" s="109"/>
      <c r="GB979" s="111"/>
      <c r="GC979" s="109"/>
      <c r="GD979" s="109"/>
      <c r="GE979" s="110"/>
      <c r="GF979" s="109"/>
      <c r="GG979" s="111"/>
      <c r="GH979" s="109"/>
      <c r="GI979" s="109"/>
      <c r="GJ979" s="110"/>
      <c r="GK979" s="109"/>
      <c r="GL979" s="111"/>
      <c r="GM979" s="109"/>
      <c r="GN979" s="109"/>
      <c r="GO979" s="110"/>
      <c r="GP979" s="109"/>
      <c r="GQ979" s="111"/>
      <c r="GR979" s="109"/>
      <c r="GS979" s="109"/>
      <c r="GT979" s="110"/>
      <c r="GU979" s="109"/>
      <c r="GV979" s="111"/>
      <c r="GW979" s="109"/>
      <c r="GX979" s="109"/>
      <c r="GY979" s="110"/>
      <c r="GZ979" s="109"/>
      <c r="HA979" s="111"/>
      <c r="HB979" s="109"/>
      <c r="HC979" s="109"/>
      <c r="HD979" s="110"/>
      <c r="HE979" s="109"/>
      <c r="HF979" s="111"/>
      <c r="HG979" s="109"/>
      <c r="HH979" s="109"/>
      <c r="HI979" s="110"/>
      <c r="HJ979" s="109"/>
      <c r="HK979" s="111"/>
      <c r="HL979" s="109"/>
      <c r="HM979" s="109"/>
      <c r="HN979" s="110"/>
      <c r="HO979" s="109"/>
      <c r="HP979" s="111"/>
      <c r="HQ979" s="109"/>
      <c r="HR979" s="109"/>
      <c r="HS979" s="110"/>
      <c r="HT979" s="109"/>
      <c r="HU979" s="111"/>
      <c r="HV979" s="109"/>
      <c r="HW979" s="109"/>
      <c r="HX979" s="110"/>
      <c r="HY979" s="109"/>
      <c r="HZ979" s="111"/>
      <c r="IA979" s="109"/>
      <c r="IB979" s="109"/>
      <c r="IC979" s="110"/>
      <c r="ID979" s="109"/>
      <c r="IE979" s="111"/>
      <c r="IF979" s="109"/>
      <c r="IG979" s="109"/>
      <c r="IH979" s="110"/>
      <c r="II979" s="109"/>
      <c r="IJ979" s="111"/>
      <c r="IK979" s="109"/>
      <c r="IL979" s="109"/>
      <c r="IM979" s="110"/>
      <c r="IN979" s="109"/>
      <c r="IO979" s="111"/>
      <c r="IP979" s="109"/>
      <c r="IQ979" s="109"/>
      <c r="IR979" s="110"/>
      <c r="IS979" s="109"/>
      <c r="IT979" s="111"/>
      <c r="IU979" s="109"/>
      <c r="IV979" s="109"/>
    </row>
    <row r="980" spans="1:256" s="123" customFormat="1" ht="14.25">
      <c r="A980" s="134">
        <v>37274</v>
      </c>
      <c r="B980" s="111">
        <v>57.2438</v>
      </c>
      <c r="C980" s="111">
        <f t="shared" si="16"/>
        <v>0.057243800000000004</v>
      </c>
      <c r="D980" s="111">
        <v>34.4384</v>
      </c>
      <c r="E980" s="111">
        <v>39.0502</v>
      </c>
      <c r="F980" s="132"/>
      <c r="G980"/>
      <c r="H980" s="109"/>
      <c r="I980" s="111"/>
      <c r="J980" s="109"/>
      <c r="K980" s="109"/>
      <c r="L980" s="110"/>
      <c r="M980" s="109"/>
      <c r="N980" s="111"/>
      <c r="O980" s="109"/>
      <c r="P980" s="109"/>
      <c r="Q980" s="110"/>
      <c r="R980" s="109"/>
      <c r="S980" s="111"/>
      <c r="T980" s="109"/>
      <c r="U980" s="109"/>
      <c r="V980" s="110"/>
      <c r="W980" s="109"/>
      <c r="X980" s="111"/>
      <c r="Y980" s="109"/>
      <c r="Z980" s="109"/>
      <c r="AA980" s="110"/>
      <c r="AB980" s="109"/>
      <c r="AC980" s="111"/>
      <c r="AD980" s="109"/>
      <c r="AE980" s="109"/>
      <c r="AF980" s="110"/>
      <c r="AG980" s="109"/>
      <c r="AH980" s="111"/>
      <c r="AI980" s="109"/>
      <c r="AJ980" s="109"/>
      <c r="AK980" s="110"/>
      <c r="AL980" s="109"/>
      <c r="AM980" s="111"/>
      <c r="AN980" s="109"/>
      <c r="AO980" s="109"/>
      <c r="AP980" s="110"/>
      <c r="AQ980" s="109"/>
      <c r="AR980" s="111"/>
      <c r="AS980" s="109"/>
      <c r="AT980" s="109"/>
      <c r="AU980" s="110"/>
      <c r="AV980" s="109"/>
      <c r="AW980" s="111"/>
      <c r="AX980" s="109"/>
      <c r="AY980" s="109"/>
      <c r="AZ980" s="110"/>
      <c r="BA980" s="109"/>
      <c r="BB980" s="111"/>
      <c r="BC980" s="109"/>
      <c r="BD980" s="109"/>
      <c r="BE980" s="110"/>
      <c r="BF980" s="109"/>
      <c r="BG980" s="111"/>
      <c r="BH980" s="109"/>
      <c r="BI980" s="109"/>
      <c r="BJ980" s="110"/>
      <c r="BK980" s="109"/>
      <c r="BL980" s="111"/>
      <c r="BM980" s="109"/>
      <c r="BN980" s="109"/>
      <c r="BO980" s="110"/>
      <c r="BP980" s="109"/>
      <c r="BQ980" s="111"/>
      <c r="BR980" s="109"/>
      <c r="BS980" s="109"/>
      <c r="BT980" s="110"/>
      <c r="BU980" s="109"/>
      <c r="BV980" s="111"/>
      <c r="BW980" s="109"/>
      <c r="BX980" s="109"/>
      <c r="BY980" s="110"/>
      <c r="BZ980" s="109"/>
      <c r="CA980" s="111"/>
      <c r="CB980" s="109"/>
      <c r="CC980" s="109"/>
      <c r="CD980" s="110"/>
      <c r="CE980" s="109"/>
      <c r="CF980" s="111"/>
      <c r="CG980" s="109"/>
      <c r="CH980" s="109"/>
      <c r="CI980" s="110"/>
      <c r="CJ980" s="109"/>
      <c r="CK980" s="111"/>
      <c r="CL980" s="109"/>
      <c r="CM980" s="109"/>
      <c r="CN980" s="110"/>
      <c r="CO980" s="109"/>
      <c r="CP980" s="111"/>
      <c r="CQ980" s="109"/>
      <c r="CR980" s="109"/>
      <c r="CS980" s="110"/>
      <c r="CT980" s="109"/>
      <c r="CU980" s="111"/>
      <c r="CV980" s="109"/>
      <c r="CW980" s="109"/>
      <c r="CX980" s="110"/>
      <c r="CY980" s="109"/>
      <c r="CZ980" s="111"/>
      <c r="DA980" s="109"/>
      <c r="DB980" s="109"/>
      <c r="DC980" s="110"/>
      <c r="DD980" s="109"/>
      <c r="DE980" s="111"/>
      <c r="DF980" s="109"/>
      <c r="DG980" s="109"/>
      <c r="DH980" s="110"/>
      <c r="DI980" s="109"/>
      <c r="DJ980" s="111"/>
      <c r="DK980" s="109"/>
      <c r="DL980" s="109"/>
      <c r="DM980" s="110"/>
      <c r="DN980" s="109"/>
      <c r="DO980" s="111"/>
      <c r="DP980" s="109"/>
      <c r="DQ980" s="109"/>
      <c r="DR980" s="110"/>
      <c r="DS980" s="109"/>
      <c r="DT980" s="111"/>
      <c r="DU980" s="109"/>
      <c r="DV980" s="109"/>
      <c r="DW980" s="110"/>
      <c r="DX980" s="109"/>
      <c r="DY980" s="111"/>
      <c r="DZ980" s="109"/>
      <c r="EA980" s="109"/>
      <c r="EB980" s="110"/>
      <c r="EC980" s="109"/>
      <c r="ED980" s="111"/>
      <c r="EE980" s="109"/>
      <c r="EF980" s="109"/>
      <c r="EG980" s="110"/>
      <c r="EH980" s="109"/>
      <c r="EI980" s="111"/>
      <c r="EJ980" s="109"/>
      <c r="EK980" s="109"/>
      <c r="EL980" s="110"/>
      <c r="EM980" s="109"/>
      <c r="EN980" s="111"/>
      <c r="EO980" s="109"/>
      <c r="EP980" s="109"/>
      <c r="EQ980" s="110"/>
      <c r="ER980" s="109"/>
      <c r="ES980" s="111"/>
      <c r="ET980" s="109"/>
      <c r="EU980" s="109"/>
      <c r="EV980" s="110"/>
      <c r="EW980" s="109"/>
      <c r="EX980" s="111"/>
      <c r="EY980" s="109"/>
      <c r="EZ980" s="109"/>
      <c r="FA980" s="110"/>
      <c r="FB980" s="109"/>
      <c r="FC980" s="111"/>
      <c r="FD980" s="109"/>
      <c r="FE980" s="109"/>
      <c r="FF980" s="110"/>
      <c r="FG980" s="109"/>
      <c r="FH980" s="111"/>
      <c r="FI980" s="109"/>
      <c r="FJ980" s="109"/>
      <c r="FK980" s="110"/>
      <c r="FL980" s="109"/>
      <c r="FM980" s="111"/>
      <c r="FN980" s="109"/>
      <c r="FO980" s="109"/>
      <c r="FP980" s="110"/>
      <c r="FQ980" s="109"/>
      <c r="FR980" s="111"/>
      <c r="FS980" s="109"/>
      <c r="FT980" s="109"/>
      <c r="FU980" s="110"/>
      <c r="FV980" s="109"/>
      <c r="FW980" s="111"/>
      <c r="FX980" s="109"/>
      <c r="FY980" s="109"/>
      <c r="FZ980" s="110"/>
      <c r="GA980" s="109"/>
      <c r="GB980" s="111"/>
      <c r="GC980" s="109"/>
      <c r="GD980" s="109"/>
      <c r="GE980" s="110"/>
      <c r="GF980" s="109"/>
      <c r="GG980" s="111"/>
      <c r="GH980" s="109"/>
      <c r="GI980" s="109"/>
      <c r="GJ980" s="110"/>
      <c r="GK980" s="109"/>
      <c r="GL980" s="111"/>
      <c r="GM980" s="109"/>
      <c r="GN980" s="109"/>
      <c r="GO980" s="110"/>
      <c r="GP980" s="109"/>
      <c r="GQ980" s="111"/>
      <c r="GR980" s="109"/>
      <c r="GS980" s="109"/>
      <c r="GT980" s="110"/>
      <c r="GU980" s="109"/>
      <c r="GV980" s="111"/>
      <c r="GW980" s="109"/>
      <c r="GX980" s="109"/>
      <c r="GY980" s="110"/>
      <c r="GZ980" s="109"/>
      <c r="HA980" s="111"/>
      <c r="HB980" s="109"/>
      <c r="HC980" s="109"/>
      <c r="HD980" s="110"/>
      <c r="HE980" s="109"/>
      <c r="HF980" s="111"/>
      <c r="HG980" s="109"/>
      <c r="HH980" s="109"/>
      <c r="HI980" s="110"/>
      <c r="HJ980" s="109"/>
      <c r="HK980" s="111"/>
      <c r="HL980" s="109"/>
      <c r="HM980" s="109"/>
      <c r="HN980" s="110"/>
      <c r="HO980" s="109"/>
      <c r="HP980" s="111"/>
      <c r="HQ980" s="109"/>
      <c r="HR980" s="109"/>
      <c r="HS980" s="110"/>
      <c r="HT980" s="109"/>
      <c r="HU980" s="111"/>
      <c r="HV980" s="109"/>
      <c r="HW980" s="109"/>
      <c r="HX980" s="110"/>
      <c r="HY980" s="109"/>
      <c r="HZ980" s="111"/>
      <c r="IA980" s="109"/>
      <c r="IB980" s="109"/>
      <c r="IC980" s="110"/>
      <c r="ID980" s="109"/>
      <c r="IE980" s="111"/>
      <c r="IF980" s="109"/>
      <c r="IG980" s="109"/>
      <c r="IH980" s="110"/>
      <c r="II980" s="109"/>
      <c r="IJ980" s="111"/>
      <c r="IK980" s="109"/>
      <c r="IL980" s="109"/>
      <c r="IM980" s="110"/>
      <c r="IN980" s="109"/>
      <c r="IO980" s="111"/>
      <c r="IP980" s="109"/>
      <c r="IQ980" s="109"/>
      <c r="IR980" s="110"/>
      <c r="IS980" s="109"/>
      <c r="IT980" s="111"/>
      <c r="IU980" s="109"/>
      <c r="IV980" s="109"/>
    </row>
    <row r="981" spans="1:256" s="123" customFormat="1" ht="14.25">
      <c r="A981" s="134">
        <v>37277</v>
      </c>
      <c r="B981" s="111">
        <v>57.5409</v>
      </c>
      <c r="C981" s="111">
        <f t="shared" si="16"/>
        <v>0.0575409</v>
      </c>
      <c r="D981" s="111">
        <v>34.4901</v>
      </c>
      <c r="E981" s="111">
        <v>39.1488</v>
      </c>
      <c r="F981" s="132"/>
      <c r="G981"/>
      <c r="H981" s="109"/>
      <c r="I981" s="111"/>
      <c r="J981" s="109"/>
      <c r="K981" s="109"/>
      <c r="L981" s="110"/>
      <c r="M981" s="109"/>
      <c r="N981" s="111"/>
      <c r="O981" s="109"/>
      <c r="P981" s="109"/>
      <c r="Q981" s="110"/>
      <c r="R981" s="109"/>
      <c r="S981" s="111"/>
      <c r="T981" s="109"/>
      <c r="U981" s="109"/>
      <c r="V981" s="110"/>
      <c r="W981" s="109"/>
      <c r="X981" s="111"/>
      <c r="Y981" s="109"/>
      <c r="Z981" s="109"/>
      <c r="AA981" s="110"/>
      <c r="AB981" s="109"/>
      <c r="AC981" s="111"/>
      <c r="AD981" s="109"/>
      <c r="AE981" s="109"/>
      <c r="AF981" s="110"/>
      <c r="AG981" s="109"/>
      <c r="AH981" s="111"/>
      <c r="AI981" s="109"/>
      <c r="AJ981" s="109"/>
      <c r="AK981" s="110"/>
      <c r="AL981" s="109"/>
      <c r="AM981" s="111"/>
      <c r="AN981" s="109"/>
      <c r="AO981" s="109"/>
      <c r="AP981" s="110"/>
      <c r="AQ981" s="109"/>
      <c r="AR981" s="111"/>
      <c r="AS981" s="109"/>
      <c r="AT981" s="109"/>
      <c r="AU981" s="110"/>
      <c r="AV981" s="109"/>
      <c r="AW981" s="111"/>
      <c r="AX981" s="109"/>
      <c r="AY981" s="109"/>
      <c r="AZ981" s="110"/>
      <c r="BA981" s="109"/>
      <c r="BB981" s="111"/>
      <c r="BC981" s="109"/>
      <c r="BD981" s="109"/>
      <c r="BE981" s="110"/>
      <c r="BF981" s="109"/>
      <c r="BG981" s="111"/>
      <c r="BH981" s="109"/>
      <c r="BI981" s="109"/>
      <c r="BJ981" s="110"/>
      <c r="BK981" s="109"/>
      <c r="BL981" s="111"/>
      <c r="BM981" s="109"/>
      <c r="BN981" s="109"/>
      <c r="BO981" s="110"/>
      <c r="BP981" s="109"/>
      <c r="BQ981" s="111"/>
      <c r="BR981" s="109"/>
      <c r="BS981" s="109"/>
      <c r="BT981" s="110"/>
      <c r="BU981" s="109"/>
      <c r="BV981" s="111"/>
      <c r="BW981" s="109"/>
      <c r="BX981" s="109"/>
      <c r="BY981" s="110"/>
      <c r="BZ981" s="109"/>
      <c r="CA981" s="111"/>
      <c r="CB981" s="109"/>
      <c r="CC981" s="109"/>
      <c r="CD981" s="110"/>
      <c r="CE981" s="109"/>
      <c r="CF981" s="111"/>
      <c r="CG981" s="109"/>
      <c r="CH981" s="109"/>
      <c r="CI981" s="110"/>
      <c r="CJ981" s="109"/>
      <c r="CK981" s="111"/>
      <c r="CL981" s="109"/>
      <c r="CM981" s="109"/>
      <c r="CN981" s="110"/>
      <c r="CO981" s="109"/>
      <c r="CP981" s="111"/>
      <c r="CQ981" s="109"/>
      <c r="CR981" s="109"/>
      <c r="CS981" s="110"/>
      <c r="CT981" s="109"/>
      <c r="CU981" s="111"/>
      <c r="CV981" s="109"/>
      <c r="CW981" s="109"/>
      <c r="CX981" s="110"/>
      <c r="CY981" s="109"/>
      <c r="CZ981" s="111"/>
      <c r="DA981" s="109"/>
      <c r="DB981" s="109"/>
      <c r="DC981" s="110"/>
      <c r="DD981" s="109"/>
      <c r="DE981" s="111"/>
      <c r="DF981" s="109"/>
      <c r="DG981" s="109"/>
      <c r="DH981" s="110"/>
      <c r="DI981" s="109"/>
      <c r="DJ981" s="111"/>
      <c r="DK981" s="109"/>
      <c r="DL981" s="109"/>
      <c r="DM981" s="110"/>
      <c r="DN981" s="109"/>
      <c r="DO981" s="111"/>
      <c r="DP981" s="109"/>
      <c r="DQ981" s="109"/>
      <c r="DR981" s="110"/>
      <c r="DS981" s="109"/>
      <c r="DT981" s="111"/>
      <c r="DU981" s="109"/>
      <c r="DV981" s="109"/>
      <c r="DW981" s="110"/>
      <c r="DX981" s="109"/>
      <c r="DY981" s="111"/>
      <c r="DZ981" s="109"/>
      <c r="EA981" s="109"/>
      <c r="EB981" s="110"/>
      <c r="EC981" s="109"/>
      <c r="ED981" s="111"/>
      <c r="EE981" s="109"/>
      <c r="EF981" s="109"/>
      <c r="EG981" s="110"/>
      <c r="EH981" s="109"/>
      <c r="EI981" s="111"/>
      <c r="EJ981" s="109"/>
      <c r="EK981" s="109"/>
      <c r="EL981" s="110"/>
      <c r="EM981" s="109"/>
      <c r="EN981" s="111"/>
      <c r="EO981" s="109"/>
      <c r="EP981" s="109"/>
      <c r="EQ981" s="110"/>
      <c r="ER981" s="109"/>
      <c r="ES981" s="111"/>
      <c r="ET981" s="109"/>
      <c r="EU981" s="109"/>
      <c r="EV981" s="110"/>
      <c r="EW981" s="109"/>
      <c r="EX981" s="111"/>
      <c r="EY981" s="109"/>
      <c r="EZ981" s="109"/>
      <c r="FA981" s="110"/>
      <c r="FB981" s="109"/>
      <c r="FC981" s="111"/>
      <c r="FD981" s="109"/>
      <c r="FE981" s="109"/>
      <c r="FF981" s="110"/>
      <c r="FG981" s="109"/>
      <c r="FH981" s="111"/>
      <c r="FI981" s="109"/>
      <c r="FJ981" s="109"/>
      <c r="FK981" s="110"/>
      <c r="FL981" s="109"/>
      <c r="FM981" s="111"/>
      <c r="FN981" s="109"/>
      <c r="FO981" s="109"/>
      <c r="FP981" s="110"/>
      <c r="FQ981" s="109"/>
      <c r="FR981" s="111"/>
      <c r="FS981" s="109"/>
      <c r="FT981" s="109"/>
      <c r="FU981" s="110"/>
      <c r="FV981" s="109"/>
      <c r="FW981" s="111"/>
      <c r="FX981" s="109"/>
      <c r="FY981" s="109"/>
      <c r="FZ981" s="110"/>
      <c r="GA981" s="109"/>
      <c r="GB981" s="111"/>
      <c r="GC981" s="109"/>
      <c r="GD981" s="109"/>
      <c r="GE981" s="110"/>
      <c r="GF981" s="109"/>
      <c r="GG981" s="111"/>
      <c r="GH981" s="109"/>
      <c r="GI981" s="109"/>
      <c r="GJ981" s="110"/>
      <c r="GK981" s="109"/>
      <c r="GL981" s="111"/>
      <c r="GM981" s="109"/>
      <c r="GN981" s="109"/>
      <c r="GO981" s="110"/>
      <c r="GP981" s="109"/>
      <c r="GQ981" s="111"/>
      <c r="GR981" s="109"/>
      <c r="GS981" s="109"/>
      <c r="GT981" s="110"/>
      <c r="GU981" s="109"/>
      <c r="GV981" s="111"/>
      <c r="GW981" s="109"/>
      <c r="GX981" s="109"/>
      <c r="GY981" s="110"/>
      <c r="GZ981" s="109"/>
      <c r="HA981" s="111"/>
      <c r="HB981" s="109"/>
      <c r="HC981" s="109"/>
      <c r="HD981" s="110"/>
      <c r="HE981" s="109"/>
      <c r="HF981" s="111"/>
      <c r="HG981" s="109"/>
      <c r="HH981" s="109"/>
      <c r="HI981" s="110"/>
      <c r="HJ981" s="109"/>
      <c r="HK981" s="111"/>
      <c r="HL981" s="109"/>
      <c r="HM981" s="109"/>
      <c r="HN981" s="110"/>
      <c r="HO981" s="109"/>
      <c r="HP981" s="111"/>
      <c r="HQ981" s="109"/>
      <c r="HR981" s="109"/>
      <c r="HS981" s="110"/>
      <c r="HT981" s="109"/>
      <c r="HU981" s="111"/>
      <c r="HV981" s="109"/>
      <c r="HW981" s="109"/>
      <c r="HX981" s="110"/>
      <c r="HY981" s="109"/>
      <c r="HZ981" s="111"/>
      <c r="IA981" s="109"/>
      <c r="IB981" s="109"/>
      <c r="IC981" s="110"/>
      <c r="ID981" s="109"/>
      <c r="IE981" s="111"/>
      <c r="IF981" s="109"/>
      <c r="IG981" s="109"/>
      <c r="IH981" s="110"/>
      <c r="II981" s="109"/>
      <c r="IJ981" s="111"/>
      <c r="IK981" s="109"/>
      <c r="IL981" s="109"/>
      <c r="IM981" s="110"/>
      <c r="IN981" s="109"/>
      <c r="IO981" s="111"/>
      <c r="IP981" s="109"/>
      <c r="IQ981" s="109"/>
      <c r="IR981" s="110"/>
      <c r="IS981" s="109"/>
      <c r="IT981" s="111"/>
      <c r="IU981" s="109"/>
      <c r="IV981" s="109"/>
    </row>
    <row r="982" spans="1:256" s="123" customFormat="1" ht="14.25">
      <c r="A982" s="134">
        <v>37278</v>
      </c>
      <c r="B982" s="111">
        <v>53.8675</v>
      </c>
      <c r="C982" s="111">
        <f t="shared" si="16"/>
        <v>0.0538675</v>
      </c>
      <c r="D982" s="111">
        <v>32.4114</v>
      </c>
      <c r="E982" s="111">
        <v>36.6645</v>
      </c>
      <c r="F982" s="132"/>
      <c r="G982"/>
      <c r="H982" s="109"/>
      <c r="I982" s="111"/>
      <c r="J982" s="109" t="s">
        <v>729</v>
      </c>
      <c r="K982" s="109"/>
      <c r="L982" s="110"/>
      <c r="M982" s="109"/>
      <c r="N982" s="111"/>
      <c r="O982" s="109"/>
      <c r="P982" s="109"/>
      <c r="Q982" s="110"/>
      <c r="R982" s="109"/>
      <c r="S982" s="111"/>
      <c r="T982" s="109"/>
      <c r="U982" s="109"/>
      <c r="V982" s="110"/>
      <c r="W982" s="109"/>
      <c r="X982" s="111"/>
      <c r="Y982" s="109"/>
      <c r="Z982" s="109"/>
      <c r="AA982" s="110"/>
      <c r="AB982" s="109"/>
      <c r="AC982" s="111"/>
      <c r="AD982" s="109"/>
      <c r="AE982" s="109"/>
      <c r="AF982" s="110"/>
      <c r="AG982" s="109"/>
      <c r="AH982" s="111"/>
      <c r="AI982" s="109"/>
      <c r="AJ982" s="109"/>
      <c r="AK982" s="110"/>
      <c r="AL982" s="109"/>
      <c r="AM982" s="111"/>
      <c r="AN982" s="109"/>
      <c r="AO982" s="109"/>
      <c r="AP982" s="110"/>
      <c r="AQ982" s="109"/>
      <c r="AR982" s="111"/>
      <c r="AS982" s="109"/>
      <c r="AT982" s="109"/>
      <c r="AU982" s="110"/>
      <c r="AV982" s="109"/>
      <c r="AW982" s="111"/>
      <c r="AX982" s="109"/>
      <c r="AY982" s="109"/>
      <c r="AZ982" s="110"/>
      <c r="BA982" s="109"/>
      <c r="BB982" s="111"/>
      <c r="BC982" s="109"/>
      <c r="BD982" s="109"/>
      <c r="BE982" s="110"/>
      <c r="BF982" s="109"/>
      <c r="BG982" s="111"/>
      <c r="BH982" s="109"/>
      <c r="BI982" s="109"/>
      <c r="BJ982" s="110"/>
      <c r="BK982" s="109"/>
      <c r="BL982" s="111"/>
      <c r="BM982" s="109"/>
      <c r="BN982" s="109"/>
      <c r="BO982" s="110"/>
      <c r="BP982" s="109"/>
      <c r="BQ982" s="111"/>
      <c r="BR982" s="109"/>
      <c r="BS982" s="109"/>
      <c r="BT982" s="110"/>
      <c r="BU982" s="109"/>
      <c r="BV982" s="111"/>
      <c r="BW982" s="109"/>
      <c r="BX982" s="109"/>
      <c r="BY982" s="110"/>
      <c r="BZ982" s="109"/>
      <c r="CA982" s="111"/>
      <c r="CB982" s="109"/>
      <c r="CC982" s="109"/>
      <c r="CD982" s="110"/>
      <c r="CE982" s="109"/>
      <c r="CF982" s="111"/>
      <c r="CG982" s="109"/>
      <c r="CH982" s="109"/>
      <c r="CI982" s="110"/>
      <c r="CJ982" s="109"/>
      <c r="CK982" s="111"/>
      <c r="CL982" s="109"/>
      <c r="CM982" s="109"/>
      <c r="CN982" s="110"/>
      <c r="CO982" s="109"/>
      <c r="CP982" s="111"/>
      <c r="CQ982" s="109"/>
      <c r="CR982" s="109"/>
      <c r="CS982" s="110"/>
      <c r="CT982" s="109"/>
      <c r="CU982" s="111"/>
      <c r="CV982" s="109"/>
      <c r="CW982" s="109"/>
      <c r="CX982" s="110"/>
      <c r="CY982" s="109"/>
      <c r="CZ982" s="111"/>
      <c r="DA982" s="109"/>
      <c r="DB982" s="109"/>
      <c r="DC982" s="110"/>
      <c r="DD982" s="109"/>
      <c r="DE982" s="111"/>
      <c r="DF982" s="109"/>
      <c r="DG982" s="109"/>
      <c r="DH982" s="110"/>
      <c r="DI982" s="109"/>
      <c r="DJ982" s="111"/>
      <c r="DK982" s="109"/>
      <c r="DL982" s="109"/>
      <c r="DM982" s="110"/>
      <c r="DN982" s="109"/>
      <c r="DO982" s="111"/>
      <c r="DP982" s="109"/>
      <c r="DQ982" s="109"/>
      <c r="DR982" s="110"/>
      <c r="DS982" s="109"/>
      <c r="DT982" s="111"/>
      <c r="DU982" s="109"/>
      <c r="DV982" s="109"/>
      <c r="DW982" s="110"/>
      <c r="DX982" s="109"/>
      <c r="DY982" s="111"/>
      <c r="DZ982" s="109"/>
      <c r="EA982" s="109"/>
      <c r="EB982" s="110"/>
      <c r="EC982" s="109"/>
      <c r="ED982" s="111"/>
      <c r="EE982" s="109"/>
      <c r="EF982" s="109"/>
      <c r="EG982" s="110"/>
      <c r="EH982" s="109"/>
      <c r="EI982" s="111"/>
      <c r="EJ982" s="109"/>
      <c r="EK982" s="109"/>
      <c r="EL982" s="110"/>
      <c r="EM982" s="109"/>
      <c r="EN982" s="111"/>
      <c r="EO982" s="109"/>
      <c r="EP982" s="109"/>
      <c r="EQ982" s="110"/>
      <c r="ER982" s="109"/>
      <c r="ES982" s="111"/>
      <c r="ET982" s="109"/>
      <c r="EU982" s="109"/>
      <c r="EV982" s="110"/>
      <c r="EW982" s="109"/>
      <c r="EX982" s="111"/>
      <c r="EY982" s="109"/>
      <c r="EZ982" s="109"/>
      <c r="FA982" s="110"/>
      <c r="FB982" s="109"/>
      <c r="FC982" s="111"/>
      <c r="FD982" s="109"/>
      <c r="FE982" s="109"/>
      <c r="FF982" s="110"/>
      <c r="FG982" s="109"/>
      <c r="FH982" s="111"/>
      <c r="FI982" s="109"/>
      <c r="FJ982" s="109"/>
      <c r="FK982" s="110"/>
      <c r="FL982" s="109"/>
      <c r="FM982" s="111"/>
      <c r="FN982" s="109"/>
      <c r="FO982" s="109"/>
      <c r="FP982" s="110"/>
      <c r="FQ982" s="109"/>
      <c r="FR982" s="111"/>
      <c r="FS982" s="109"/>
      <c r="FT982" s="109"/>
      <c r="FU982" s="110"/>
      <c r="FV982" s="109"/>
      <c r="FW982" s="111"/>
      <c r="FX982" s="109"/>
      <c r="FY982" s="109"/>
      <c r="FZ982" s="110"/>
      <c r="GA982" s="109"/>
      <c r="GB982" s="111"/>
      <c r="GC982" s="109"/>
      <c r="GD982" s="109"/>
      <c r="GE982" s="110"/>
      <c r="GF982" s="109"/>
      <c r="GG982" s="111"/>
      <c r="GH982" s="109"/>
      <c r="GI982" s="109"/>
      <c r="GJ982" s="110"/>
      <c r="GK982" s="109"/>
      <c r="GL982" s="111"/>
      <c r="GM982" s="109"/>
      <c r="GN982" s="109"/>
      <c r="GO982" s="110"/>
      <c r="GP982" s="109"/>
      <c r="GQ982" s="111"/>
      <c r="GR982" s="109"/>
      <c r="GS982" s="109"/>
      <c r="GT982" s="110"/>
      <c r="GU982" s="109"/>
      <c r="GV982" s="111"/>
      <c r="GW982" s="109"/>
      <c r="GX982" s="109"/>
      <c r="GY982" s="110"/>
      <c r="GZ982" s="109"/>
      <c r="HA982" s="111"/>
      <c r="HB982" s="109"/>
      <c r="HC982" s="109"/>
      <c r="HD982" s="110"/>
      <c r="HE982" s="109"/>
      <c r="HF982" s="111"/>
      <c r="HG982" s="109"/>
      <c r="HH982" s="109"/>
      <c r="HI982" s="110"/>
      <c r="HJ982" s="109"/>
      <c r="HK982" s="111"/>
      <c r="HL982" s="109"/>
      <c r="HM982" s="109"/>
      <c r="HN982" s="110"/>
      <c r="HO982" s="109"/>
      <c r="HP982" s="111"/>
      <c r="HQ982" s="109"/>
      <c r="HR982" s="109"/>
      <c r="HS982" s="110"/>
      <c r="HT982" s="109"/>
      <c r="HU982" s="111"/>
      <c r="HV982" s="109"/>
      <c r="HW982" s="109"/>
      <c r="HX982" s="110"/>
      <c r="HY982" s="109"/>
      <c r="HZ982" s="111"/>
      <c r="IA982" s="109"/>
      <c r="IB982" s="109"/>
      <c r="IC982" s="110"/>
      <c r="ID982" s="109"/>
      <c r="IE982" s="111"/>
      <c r="IF982" s="109"/>
      <c r="IG982" s="109"/>
      <c r="IH982" s="110"/>
      <c r="II982" s="109"/>
      <c r="IJ982" s="111"/>
      <c r="IK982" s="109"/>
      <c r="IL982" s="109"/>
      <c r="IM982" s="110"/>
      <c r="IN982" s="109"/>
      <c r="IO982" s="111"/>
      <c r="IP982" s="109"/>
      <c r="IQ982" s="109"/>
      <c r="IR982" s="110"/>
      <c r="IS982" s="109"/>
      <c r="IT982" s="111"/>
      <c r="IU982" s="109"/>
      <c r="IV982" s="109"/>
    </row>
    <row r="983" spans="1:256" s="123" customFormat="1" ht="14.25">
      <c r="A983" s="134">
        <v>37279</v>
      </c>
      <c r="B983" s="111">
        <v>51.4077</v>
      </c>
      <c r="C983" s="111">
        <f t="shared" si="16"/>
        <v>0.0514077</v>
      </c>
      <c r="D983" s="111">
        <v>30.909</v>
      </c>
      <c r="E983" s="111">
        <v>35.0046</v>
      </c>
      <c r="F983" s="132"/>
      <c r="G983"/>
      <c r="H983" s="109"/>
      <c r="I983" s="111"/>
      <c r="J983" s="109" t="s">
        <v>731</v>
      </c>
      <c r="K983" s="109"/>
      <c r="L983" s="110"/>
      <c r="M983" s="109"/>
      <c r="N983" s="111"/>
      <c r="O983" s="109"/>
      <c r="P983" s="109"/>
      <c r="Q983" s="110"/>
      <c r="R983" s="109"/>
      <c r="S983" s="111"/>
      <c r="T983" s="109"/>
      <c r="U983" s="109"/>
      <c r="V983" s="110"/>
      <c r="W983" s="109"/>
      <c r="X983" s="111"/>
      <c r="Y983" s="109"/>
      <c r="Z983" s="109"/>
      <c r="AA983" s="110"/>
      <c r="AB983" s="109"/>
      <c r="AC983" s="111"/>
      <c r="AD983" s="109"/>
      <c r="AE983" s="109"/>
      <c r="AF983" s="110"/>
      <c r="AG983" s="109"/>
      <c r="AH983" s="111"/>
      <c r="AI983" s="109"/>
      <c r="AJ983" s="109"/>
      <c r="AK983" s="110"/>
      <c r="AL983" s="109"/>
      <c r="AM983" s="111"/>
      <c r="AN983" s="109"/>
      <c r="AO983" s="109"/>
      <c r="AP983" s="110"/>
      <c r="AQ983" s="109"/>
      <c r="AR983" s="111"/>
      <c r="AS983" s="109"/>
      <c r="AT983" s="109"/>
      <c r="AU983" s="110"/>
      <c r="AV983" s="109"/>
      <c r="AW983" s="111"/>
      <c r="AX983" s="109"/>
      <c r="AY983" s="109"/>
      <c r="AZ983" s="110"/>
      <c r="BA983" s="109"/>
      <c r="BB983" s="111"/>
      <c r="BC983" s="109"/>
      <c r="BD983" s="109"/>
      <c r="BE983" s="110"/>
      <c r="BF983" s="109"/>
      <c r="BG983" s="111"/>
      <c r="BH983" s="109"/>
      <c r="BI983" s="109"/>
      <c r="BJ983" s="110"/>
      <c r="BK983" s="109"/>
      <c r="BL983" s="111"/>
      <c r="BM983" s="109"/>
      <c r="BN983" s="109"/>
      <c r="BO983" s="110"/>
      <c r="BP983" s="109"/>
      <c r="BQ983" s="111"/>
      <c r="BR983" s="109"/>
      <c r="BS983" s="109"/>
      <c r="BT983" s="110"/>
      <c r="BU983" s="109"/>
      <c r="BV983" s="111"/>
      <c r="BW983" s="109"/>
      <c r="BX983" s="109"/>
      <c r="BY983" s="110"/>
      <c r="BZ983" s="109"/>
      <c r="CA983" s="111"/>
      <c r="CB983" s="109"/>
      <c r="CC983" s="109"/>
      <c r="CD983" s="110"/>
      <c r="CE983" s="109"/>
      <c r="CF983" s="111"/>
      <c r="CG983" s="109"/>
      <c r="CH983" s="109"/>
      <c r="CI983" s="110"/>
      <c r="CJ983" s="109"/>
      <c r="CK983" s="111"/>
      <c r="CL983" s="109"/>
      <c r="CM983" s="109"/>
      <c r="CN983" s="110"/>
      <c r="CO983" s="109"/>
      <c r="CP983" s="111"/>
      <c r="CQ983" s="109"/>
      <c r="CR983" s="109"/>
      <c r="CS983" s="110"/>
      <c r="CT983" s="109"/>
      <c r="CU983" s="111"/>
      <c r="CV983" s="109"/>
      <c r="CW983" s="109"/>
      <c r="CX983" s="110"/>
      <c r="CY983" s="109"/>
      <c r="CZ983" s="111"/>
      <c r="DA983" s="109"/>
      <c r="DB983" s="109"/>
      <c r="DC983" s="110"/>
      <c r="DD983" s="109"/>
      <c r="DE983" s="111"/>
      <c r="DF983" s="109"/>
      <c r="DG983" s="109"/>
      <c r="DH983" s="110"/>
      <c r="DI983" s="109"/>
      <c r="DJ983" s="111"/>
      <c r="DK983" s="109"/>
      <c r="DL983" s="109"/>
      <c r="DM983" s="110"/>
      <c r="DN983" s="109"/>
      <c r="DO983" s="111"/>
      <c r="DP983" s="109"/>
      <c r="DQ983" s="109"/>
      <c r="DR983" s="110"/>
      <c r="DS983" s="109"/>
      <c r="DT983" s="111"/>
      <c r="DU983" s="109"/>
      <c r="DV983" s="109"/>
      <c r="DW983" s="110"/>
      <c r="DX983" s="109"/>
      <c r="DY983" s="111"/>
      <c r="DZ983" s="109"/>
      <c r="EA983" s="109"/>
      <c r="EB983" s="110"/>
      <c r="EC983" s="109"/>
      <c r="ED983" s="111"/>
      <c r="EE983" s="109"/>
      <c r="EF983" s="109"/>
      <c r="EG983" s="110"/>
      <c r="EH983" s="109"/>
      <c r="EI983" s="111"/>
      <c r="EJ983" s="109"/>
      <c r="EK983" s="109"/>
      <c r="EL983" s="110"/>
      <c r="EM983" s="109"/>
      <c r="EN983" s="111"/>
      <c r="EO983" s="109"/>
      <c r="EP983" s="109"/>
      <c r="EQ983" s="110"/>
      <c r="ER983" s="109"/>
      <c r="ES983" s="111"/>
      <c r="ET983" s="109"/>
      <c r="EU983" s="109"/>
      <c r="EV983" s="110"/>
      <c r="EW983" s="109"/>
      <c r="EX983" s="111"/>
      <c r="EY983" s="109"/>
      <c r="EZ983" s="109"/>
      <c r="FA983" s="110"/>
      <c r="FB983" s="109"/>
      <c r="FC983" s="111"/>
      <c r="FD983" s="109"/>
      <c r="FE983" s="109"/>
      <c r="FF983" s="110"/>
      <c r="FG983" s="109"/>
      <c r="FH983" s="111"/>
      <c r="FI983" s="109"/>
      <c r="FJ983" s="109"/>
      <c r="FK983" s="110"/>
      <c r="FL983" s="109"/>
      <c r="FM983" s="111"/>
      <c r="FN983" s="109"/>
      <c r="FO983" s="109"/>
      <c r="FP983" s="110"/>
      <c r="FQ983" s="109"/>
      <c r="FR983" s="111"/>
      <c r="FS983" s="109"/>
      <c r="FT983" s="109"/>
      <c r="FU983" s="110"/>
      <c r="FV983" s="109"/>
      <c r="FW983" s="111"/>
      <c r="FX983" s="109"/>
      <c r="FY983" s="109"/>
      <c r="FZ983" s="110"/>
      <c r="GA983" s="109"/>
      <c r="GB983" s="111"/>
      <c r="GC983" s="109"/>
      <c r="GD983" s="109"/>
      <c r="GE983" s="110"/>
      <c r="GF983" s="109"/>
      <c r="GG983" s="111"/>
      <c r="GH983" s="109"/>
      <c r="GI983" s="109"/>
      <c r="GJ983" s="110"/>
      <c r="GK983" s="109"/>
      <c r="GL983" s="111"/>
      <c r="GM983" s="109"/>
      <c r="GN983" s="109"/>
      <c r="GO983" s="110"/>
      <c r="GP983" s="109"/>
      <c r="GQ983" s="111"/>
      <c r="GR983" s="109"/>
      <c r="GS983" s="109"/>
      <c r="GT983" s="110"/>
      <c r="GU983" s="109"/>
      <c r="GV983" s="111"/>
      <c r="GW983" s="109"/>
      <c r="GX983" s="109"/>
      <c r="GY983" s="110"/>
      <c r="GZ983" s="109"/>
      <c r="HA983" s="111"/>
      <c r="HB983" s="109"/>
      <c r="HC983" s="109"/>
      <c r="HD983" s="110"/>
      <c r="HE983" s="109"/>
      <c r="HF983" s="111"/>
      <c r="HG983" s="109"/>
      <c r="HH983" s="109"/>
      <c r="HI983" s="110"/>
      <c r="HJ983" s="109"/>
      <c r="HK983" s="111"/>
      <c r="HL983" s="109"/>
      <c r="HM983" s="109"/>
      <c r="HN983" s="110"/>
      <c r="HO983" s="109"/>
      <c r="HP983" s="111"/>
      <c r="HQ983" s="109"/>
      <c r="HR983" s="109"/>
      <c r="HS983" s="110"/>
      <c r="HT983" s="109"/>
      <c r="HU983" s="111"/>
      <c r="HV983" s="109"/>
      <c r="HW983" s="109"/>
      <c r="HX983" s="110"/>
      <c r="HY983" s="109"/>
      <c r="HZ983" s="111"/>
      <c r="IA983" s="109"/>
      <c r="IB983" s="109"/>
      <c r="IC983" s="110"/>
      <c r="ID983" s="109"/>
      <c r="IE983" s="111"/>
      <c r="IF983" s="109"/>
      <c r="IG983" s="109"/>
      <c r="IH983" s="110"/>
      <c r="II983" s="109"/>
      <c r="IJ983" s="111"/>
      <c r="IK983" s="109"/>
      <c r="IL983" s="109"/>
      <c r="IM983" s="110"/>
      <c r="IN983" s="109"/>
      <c r="IO983" s="111"/>
      <c r="IP983" s="109"/>
      <c r="IQ983" s="109"/>
      <c r="IR983" s="110"/>
      <c r="IS983" s="109"/>
      <c r="IT983" s="111"/>
      <c r="IU983" s="109"/>
      <c r="IV983" s="109"/>
    </row>
    <row r="984" spans="1:256" s="123" customFormat="1" ht="14.25">
      <c r="A984" s="134">
        <v>37280</v>
      </c>
      <c r="B984" s="111">
        <v>49.8911</v>
      </c>
      <c r="C984" s="111">
        <f t="shared" si="16"/>
        <v>0.0498911</v>
      </c>
      <c r="D984" s="111">
        <v>29.9814</v>
      </c>
      <c r="E984" s="111">
        <v>33.8543</v>
      </c>
      <c r="F984" s="132"/>
      <c r="G984"/>
      <c r="H984" s="109"/>
      <c r="I984" s="111"/>
      <c r="J984" s="109"/>
      <c r="K984" s="109"/>
      <c r="L984" s="110"/>
      <c r="M984" s="109"/>
      <c r="N984" s="111"/>
      <c r="O984" s="109"/>
      <c r="P984" s="109"/>
      <c r="Q984" s="110"/>
      <c r="R984" s="109"/>
      <c r="S984" s="111"/>
      <c r="T984" s="109"/>
      <c r="U984" s="109"/>
      <c r="V984" s="110"/>
      <c r="W984" s="109"/>
      <c r="X984" s="111"/>
      <c r="Y984" s="109"/>
      <c r="Z984" s="109"/>
      <c r="AA984" s="110"/>
      <c r="AB984" s="109"/>
      <c r="AC984" s="111"/>
      <c r="AD984" s="109"/>
      <c r="AE984" s="109"/>
      <c r="AF984" s="110"/>
      <c r="AG984" s="109"/>
      <c r="AH984" s="111"/>
      <c r="AI984" s="109"/>
      <c r="AJ984" s="109"/>
      <c r="AK984" s="110"/>
      <c r="AL984" s="109"/>
      <c r="AM984" s="111"/>
      <c r="AN984" s="109"/>
      <c r="AO984" s="109"/>
      <c r="AP984" s="110"/>
      <c r="AQ984" s="109"/>
      <c r="AR984" s="111"/>
      <c r="AS984" s="109"/>
      <c r="AT984" s="109"/>
      <c r="AU984" s="110"/>
      <c r="AV984" s="109"/>
      <c r="AW984" s="111"/>
      <c r="AX984" s="109"/>
      <c r="AY984" s="109"/>
      <c r="AZ984" s="110"/>
      <c r="BA984" s="109"/>
      <c r="BB984" s="111"/>
      <c r="BC984" s="109"/>
      <c r="BD984" s="109"/>
      <c r="BE984" s="110"/>
      <c r="BF984" s="109"/>
      <c r="BG984" s="111"/>
      <c r="BH984" s="109"/>
      <c r="BI984" s="109"/>
      <c r="BJ984" s="110"/>
      <c r="BK984" s="109"/>
      <c r="BL984" s="111"/>
      <c r="BM984" s="109"/>
      <c r="BN984" s="109"/>
      <c r="BO984" s="110"/>
      <c r="BP984" s="109"/>
      <c r="BQ984" s="111"/>
      <c r="BR984" s="109"/>
      <c r="BS984" s="109"/>
      <c r="BT984" s="110"/>
      <c r="BU984" s="109"/>
      <c r="BV984" s="111"/>
      <c r="BW984" s="109"/>
      <c r="BX984" s="109"/>
      <c r="BY984" s="110"/>
      <c r="BZ984" s="109"/>
      <c r="CA984" s="111"/>
      <c r="CB984" s="109"/>
      <c r="CC984" s="109"/>
      <c r="CD984" s="110"/>
      <c r="CE984" s="109"/>
      <c r="CF984" s="111"/>
      <c r="CG984" s="109"/>
      <c r="CH984" s="109"/>
      <c r="CI984" s="110"/>
      <c r="CJ984" s="109"/>
      <c r="CK984" s="111"/>
      <c r="CL984" s="109"/>
      <c r="CM984" s="109"/>
      <c r="CN984" s="110"/>
      <c r="CO984" s="109"/>
      <c r="CP984" s="111"/>
      <c r="CQ984" s="109"/>
      <c r="CR984" s="109"/>
      <c r="CS984" s="110"/>
      <c r="CT984" s="109"/>
      <c r="CU984" s="111"/>
      <c r="CV984" s="109"/>
      <c r="CW984" s="109"/>
      <c r="CX984" s="110"/>
      <c r="CY984" s="109"/>
      <c r="CZ984" s="111"/>
      <c r="DA984" s="109"/>
      <c r="DB984" s="109"/>
      <c r="DC984" s="110"/>
      <c r="DD984" s="109"/>
      <c r="DE984" s="111"/>
      <c r="DF984" s="109"/>
      <c r="DG984" s="109"/>
      <c r="DH984" s="110"/>
      <c r="DI984" s="109"/>
      <c r="DJ984" s="111"/>
      <c r="DK984" s="109"/>
      <c r="DL984" s="109"/>
      <c r="DM984" s="110"/>
      <c r="DN984" s="109"/>
      <c r="DO984" s="111"/>
      <c r="DP984" s="109"/>
      <c r="DQ984" s="109"/>
      <c r="DR984" s="110"/>
      <c r="DS984" s="109"/>
      <c r="DT984" s="111"/>
      <c r="DU984" s="109"/>
      <c r="DV984" s="109"/>
      <c r="DW984" s="110"/>
      <c r="DX984" s="109"/>
      <c r="DY984" s="111"/>
      <c r="DZ984" s="109"/>
      <c r="EA984" s="109"/>
      <c r="EB984" s="110"/>
      <c r="EC984" s="109"/>
      <c r="ED984" s="111"/>
      <c r="EE984" s="109"/>
      <c r="EF984" s="109"/>
      <c r="EG984" s="110"/>
      <c r="EH984" s="109"/>
      <c r="EI984" s="111"/>
      <c r="EJ984" s="109"/>
      <c r="EK984" s="109"/>
      <c r="EL984" s="110"/>
      <c r="EM984" s="109"/>
      <c r="EN984" s="111"/>
      <c r="EO984" s="109"/>
      <c r="EP984" s="109"/>
      <c r="EQ984" s="110"/>
      <c r="ER984" s="109"/>
      <c r="ES984" s="111"/>
      <c r="ET984" s="109"/>
      <c r="EU984" s="109"/>
      <c r="EV984" s="110"/>
      <c r="EW984" s="109"/>
      <c r="EX984" s="111"/>
      <c r="EY984" s="109"/>
      <c r="EZ984" s="109"/>
      <c r="FA984" s="110"/>
      <c r="FB984" s="109"/>
      <c r="FC984" s="111"/>
      <c r="FD984" s="109"/>
      <c r="FE984" s="109"/>
      <c r="FF984" s="110"/>
      <c r="FG984" s="109"/>
      <c r="FH984" s="111"/>
      <c r="FI984" s="109"/>
      <c r="FJ984" s="109"/>
      <c r="FK984" s="110"/>
      <c r="FL984" s="109"/>
      <c r="FM984" s="111"/>
      <c r="FN984" s="109"/>
      <c r="FO984" s="109"/>
      <c r="FP984" s="110"/>
      <c r="FQ984" s="109"/>
      <c r="FR984" s="111"/>
      <c r="FS984" s="109"/>
      <c r="FT984" s="109"/>
      <c r="FU984" s="110"/>
      <c r="FV984" s="109"/>
      <c r="FW984" s="111"/>
      <c r="FX984" s="109"/>
      <c r="FY984" s="109"/>
      <c r="FZ984" s="110"/>
      <c r="GA984" s="109"/>
      <c r="GB984" s="111"/>
      <c r="GC984" s="109"/>
      <c r="GD984" s="109"/>
      <c r="GE984" s="110"/>
      <c r="GF984" s="109"/>
      <c r="GG984" s="111"/>
      <c r="GH984" s="109"/>
      <c r="GI984" s="109"/>
      <c r="GJ984" s="110"/>
      <c r="GK984" s="109"/>
      <c r="GL984" s="111"/>
      <c r="GM984" s="109"/>
      <c r="GN984" s="109"/>
      <c r="GO984" s="110"/>
      <c r="GP984" s="109"/>
      <c r="GQ984" s="111"/>
      <c r="GR984" s="109"/>
      <c r="GS984" s="109"/>
      <c r="GT984" s="110"/>
      <c r="GU984" s="109"/>
      <c r="GV984" s="111"/>
      <c r="GW984" s="109"/>
      <c r="GX984" s="109"/>
      <c r="GY984" s="110"/>
      <c r="GZ984" s="109"/>
      <c r="HA984" s="111"/>
      <c r="HB984" s="109"/>
      <c r="HC984" s="109"/>
      <c r="HD984" s="110"/>
      <c r="HE984" s="109"/>
      <c r="HF984" s="111"/>
      <c r="HG984" s="109"/>
      <c r="HH984" s="109"/>
      <c r="HI984" s="110"/>
      <c r="HJ984" s="109"/>
      <c r="HK984" s="111"/>
      <c r="HL984" s="109"/>
      <c r="HM984" s="109"/>
      <c r="HN984" s="110"/>
      <c r="HO984" s="109"/>
      <c r="HP984" s="111"/>
      <c r="HQ984" s="109"/>
      <c r="HR984" s="109"/>
      <c r="HS984" s="110"/>
      <c r="HT984" s="109"/>
      <c r="HU984" s="111"/>
      <c r="HV984" s="109"/>
      <c r="HW984" s="109"/>
      <c r="HX984" s="110"/>
      <c r="HY984" s="109"/>
      <c r="HZ984" s="111"/>
      <c r="IA984" s="109"/>
      <c r="IB984" s="109"/>
      <c r="IC984" s="110"/>
      <c r="ID984" s="109"/>
      <c r="IE984" s="111"/>
      <c r="IF984" s="109"/>
      <c r="IG984" s="109"/>
      <c r="IH984" s="110"/>
      <c r="II984" s="109"/>
      <c r="IJ984" s="111"/>
      <c r="IK984" s="109"/>
      <c r="IL984" s="109"/>
      <c r="IM984" s="110"/>
      <c r="IN984" s="109"/>
      <c r="IO984" s="111"/>
      <c r="IP984" s="109"/>
      <c r="IQ984" s="109"/>
      <c r="IR984" s="110"/>
      <c r="IS984" s="109"/>
      <c r="IT984" s="111"/>
      <c r="IU984" s="109"/>
      <c r="IV984" s="109"/>
    </row>
    <row r="985" spans="1:256" s="123" customFormat="1" ht="14.25">
      <c r="A985" s="134">
        <v>37281</v>
      </c>
      <c r="B985" s="111">
        <v>49.1639</v>
      </c>
      <c r="C985" s="111">
        <f t="shared" si="16"/>
        <v>0.049163899999999996</v>
      </c>
      <c r="D985" s="111">
        <v>29.347</v>
      </c>
      <c r="E985" s="111">
        <v>33.4744</v>
      </c>
      <c r="F985" s="132"/>
      <c r="G985"/>
      <c r="H985" s="109" t="s">
        <v>727</v>
      </c>
      <c r="I985" s="111" t="s">
        <v>728</v>
      </c>
      <c r="J985" s="109"/>
      <c r="K985" s="109"/>
      <c r="L985" s="110"/>
      <c r="M985" s="109"/>
      <c r="N985" s="111"/>
      <c r="O985" s="109"/>
      <c r="P985" s="109"/>
      <c r="Q985" s="110"/>
      <c r="R985" s="109"/>
      <c r="S985" s="111"/>
      <c r="T985" s="109"/>
      <c r="U985" s="109"/>
      <c r="V985" s="110"/>
      <c r="W985" s="109"/>
      <c r="X985" s="111"/>
      <c r="Y985" s="109"/>
      <c r="Z985" s="109"/>
      <c r="AA985" s="110"/>
      <c r="AB985" s="109"/>
      <c r="AC985" s="111"/>
      <c r="AD985" s="109"/>
      <c r="AE985" s="109"/>
      <c r="AF985" s="110"/>
      <c r="AG985" s="109"/>
      <c r="AH985" s="111"/>
      <c r="AI985" s="109"/>
      <c r="AJ985" s="109"/>
      <c r="AK985" s="110"/>
      <c r="AL985" s="109"/>
      <c r="AM985" s="111"/>
      <c r="AN985" s="109"/>
      <c r="AO985" s="109"/>
      <c r="AP985" s="110"/>
      <c r="AQ985" s="109"/>
      <c r="AR985" s="111"/>
      <c r="AS985" s="109"/>
      <c r="AT985" s="109"/>
      <c r="AU985" s="110"/>
      <c r="AV985" s="109"/>
      <c r="AW985" s="111"/>
      <c r="AX985" s="109"/>
      <c r="AY985" s="109"/>
      <c r="AZ985" s="110"/>
      <c r="BA985" s="109"/>
      <c r="BB985" s="111"/>
      <c r="BC985" s="109"/>
      <c r="BD985" s="109"/>
      <c r="BE985" s="110"/>
      <c r="BF985" s="109"/>
      <c r="BG985" s="111"/>
      <c r="BH985" s="109"/>
      <c r="BI985" s="109"/>
      <c r="BJ985" s="110"/>
      <c r="BK985" s="109"/>
      <c r="BL985" s="111"/>
      <c r="BM985" s="109"/>
      <c r="BN985" s="109"/>
      <c r="BO985" s="110"/>
      <c r="BP985" s="109"/>
      <c r="BQ985" s="111"/>
      <c r="BR985" s="109"/>
      <c r="BS985" s="109"/>
      <c r="BT985" s="110"/>
      <c r="BU985" s="109"/>
      <c r="BV985" s="111"/>
      <c r="BW985" s="109"/>
      <c r="BX985" s="109"/>
      <c r="BY985" s="110"/>
      <c r="BZ985" s="109"/>
      <c r="CA985" s="111"/>
      <c r="CB985" s="109"/>
      <c r="CC985" s="109"/>
      <c r="CD985" s="110"/>
      <c r="CE985" s="109"/>
      <c r="CF985" s="111"/>
      <c r="CG985" s="109"/>
      <c r="CH985" s="109"/>
      <c r="CI985" s="110"/>
      <c r="CJ985" s="109"/>
      <c r="CK985" s="111"/>
      <c r="CL985" s="109"/>
      <c r="CM985" s="109"/>
      <c r="CN985" s="110"/>
      <c r="CO985" s="109"/>
      <c r="CP985" s="111"/>
      <c r="CQ985" s="109"/>
      <c r="CR985" s="109"/>
      <c r="CS985" s="110"/>
      <c r="CT985" s="109"/>
      <c r="CU985" s="111"/>
      <c r="CV985" s="109"/>
      <c r="CW985" s="109"/>
      <c r="CX985" s="110"/>
      <c r="CY985" s="109"/>
      <c r="CZ985" s="111"/>
      <c r="DA985" s="109"/>
      <c r="DB985" s="109"/>
      <c r="DC985" s="110"/>
      <c r="DD985" s="109"/>
      <c r="DE985" s="111"/>
      <c r="DF985" s="109"/>
      <c r="DG985" s="109"/>
      <c r="DH985" s="110"/>
      <c r="DI985" s="109"/>
      <c r="DJ985" s="111"/>
      <c r="DK985" s="109"/>
      <c r="DL985" s="109"/>
      <c r="DM985" s="110"/>
      <c r="DN985" s="109"/>
      <c r="DO985" s="111"/>
      <c r="DP985" s="109"/>
      <c r="DQ985" s="109"/>
      <c r="DR985" s="110"/>
      <c r="DS985" s="109"/>
      <c r="DT985" s="111"/>
      <c r="DU985" s="109"/>
      <c r="DV985" s="109"/>
      <c r="DW985" s="110"/>
      <c r="DX985" s="109"/>
      <c r="DY985" s="111"/>
      <c r="DZ985" s="109"/>
      <c r="EA985" s="109"/>
      <c r="EB985" s="110"/>
      <c r="EC985" s="109"/>
      <c r="ED985" s="111"/>
      <c r="EE985" s="109"/>
      <c r="EF985" s="109"/>
      <c r="EG985" s="110"/>
      <c r="EH985" s="109"/>
      <c r="EI985" s="111"/>
      <c r="EJ985" s="109"/>
      <c r="EK985" s="109"/>
      <c r="EL985" s="110"/>
      <c r="EM985" s="109"/>
      <c r="EN985" s="111"/>
      <c r="EO985" s="109"/>
      <c r="EP985" s="109"/>
      <c r="EQ985" s="110"/>
      <c r="ER985" s="109"/>
      <c r="ES985" s="111"/>
      <c r="ET985" s="109"/>
      <c r="EU985" s="109"/>
      <c r="EV985" s="110"/>
      <c r="EW985" s="109"/>
      <c r="EX985" s="111"/>
      <c r="EY985" s="109"/>
      <c r="EZ985" s="109"/>
      <c r="FA985" s="110"/>
      <c r="FB985" s="109"/>
      <c r="FC985" s="111"/>
      <c r="FD985" s="109"/>
      <c r="FE985" s="109"/>
      <c r="FF985" s="110"/>
      <c r="FG985" s="109"/>
      <c r="FH985" s="111"/>
      <c r="FI985" s="109"/>
      <c r="FJ985" s="109"/>
      <c r="FK985" s="110"/>
      <c r="FL985" s="109"/>
      <c r="FM985" s="111"/>
      <c r="FN985" s="109"/>
      <c r="FO985" s="109"/>
      <c r="FP985" s="110"/>
      <c r="FQ985" s="109"/>
      <c r="FR985" s="111"/>
      <c r="FS985" s="109"/>
      <c r="FT985" s="109"/>
      <c r="FU985" s="110"/>
      <c r="FV985" s="109"/>
      <c r="FW985" s="111"/>
      <c r="FX985" s="109"/>
      <c r="FY985" s="109"/>
      <c r="FZ985" s="110"/>
      <c r="GA985" s="109"/>
      <c r="GB985" s="111"/>
      <c r="GC985" s="109"/>
      <c r="GD985" s="109"/>
      <c r="GE985" s="110"/>
      <c r="GF985" s="109"/>
      <c r="GG985" s="111"/>
      <c r="GH985" s="109"/>
      <c r="GI985" s="109"/>
      <c r="GJ985" s="110"/>
      <c r="GK985" s="109"/>
      <c r="GL985" s="111"/>
      <c r="GM985" s="109"/>
      <c r="GN985" s="109"/>
      <c r="GO985" s="110"/>
      <c r="GP985" s="109"/>
      <c r="GQ985" s="111"/>
      <c r="GR985" s="109"/>
      <c r="GS985" s="109"/>
      <c r="GT985" s="110"/>
      <c r="GU985" s="109"/>
      <c r="GV985" s="111"/>
      <c r="GW985" s="109"/>
      <c r="GX985" s="109"/>
      <c r="GY985" s="110"/>
      <c r="GZ985" s="109"/>
      <c r="HA985" s="111"/>
      <c r="HB985" s="109"/>
      <c r="HC985" s="109"/>
      <c r="HD985" s="110"/>
      <c r="HE985" s="109"/>
      <c r="HF985" s="111"/>
      <c r="HG985" s="109"/>
      <c r="HH985" s="109"/>
      <c r="HI985" s="110"/>
      <c r="HJ985" s="109"/>
      <c r="HK985" s="111"/>
      <c r="HL985" s="109"/>
      <c r="HM985" s="109"/>
      <c r="HN985" s="110"/>
      <c r="HO985" s="109"/>
      <c r="HP985" s="111"/>
      <c r="HQ985" s="109"/>
      <c r="HR985" s="109"/>
      <c r="HS985" s="110"/>
      <c r="HT985" s="109"/>
      <c r="HU985" s="111"/>
      <c r="HV985" s="109"/>
      <c r="HW985" s="109"/>
      <c r="HX985" s="110"/>
      <c r="HY985" s="109"/>
      <c r="HZ985" s="111"/>
      <c r="IA985" s="109"/>
      <c r="IB985" s="109"/>
      <c r="IC985" s="110"/>
      <c r="ID985" s="109"/>
      <c r="IE985" s="111"/>
      <c r="IF985" s="109"/>
      <c r="IG985" s="109"/>
      <c r="IH985" s="110"/>
      <c r="II985" s="109"/>
      <c r="IJ985" s="111"/>
      <c r="IK985" s="109"/>
      <c r="IL985" s="109"/>
      <c r="IM985" s="110"/>
      <c r="IN985" s="109"/>
      <c r="IO985" s="111"/>
      <c r="IP985" s="109"/>
      <c r="IQ985" s="109"/>
      <c r="IR985" s="110"/>
      <c r="IS985" s="109"/>
      <c r="IT985" s="111"/>
      <c r="IU985" s="109"/>
      <c r="IV985" s="109"/>
    </row>
    <row r="986" spans="1:256" s="123" customFormat="1" ht="14.25">
      <c r="A986" s="134">
        <v>37284</v>
      </c>
      <c r="B986" s="111">
        <v>48.1405</v>
      </c>
      <c r="C986" s="111">
        <f t="shared" si="16"/>
        <v>0.0481405</v>
      </c>
      <c r="D986" s="111">
        <v>28.3393</v>
      </c>
      <c r="E986" s="111">
        <v>32.713</v>
      </c>
      <c r="F986" s="132"/>
      <c r="G986"/>
      <c r="H986" s="109" t="s">
        <v>730</v>
      </c>
      <c r="I986" s="111" t="s">
        <v>728</v>
      </c>
      <c r="J986" s="109"/>
      <c r="K986" s="109"/>
      <c r="L986" s="110"/>
      <c r="M986" s="109"/>
      <c r="N986" s="111"/>
      <c r="O986" s="109"/>
      <c r="P986" s="109"/>
      <c r="Q986" s="110"/>
      <c r="R986" s="109"/>
      <c r="S986" s="111"/>
      <c r="T986" s="109"/>
      <c r="U986" s="109"/>
      <c r="V986" s="110"/>
      <c r="W986" s="109"/>
      <c r="X986" s="111"/>
      <c r="Y986" s="109"/>
      <c r="Z986" s="109"/>
      <c r="AA986" s="110"/>
      <c r="AB986" s="109"/>
      <c r="AC986" s="111"/>
      <c r="AD986" s="109"/>
      <c r="AE986" s="109"/>
      <c r="AF986" s="110"/>
      <c r="AG986" s="109"/>
      <c r="AH986" s="111"/>
      <c r="AI986" s="109"/>
      <c r="AJ986" s="109"/>
      <c r="AK986" s="110"/>
      <c r="AL986" s="109"/>
      <c r="AM986" s="111"/>
      <c r="AN986" s="109"/>
      <c r="AO986" s="109"/>
      <c r="AP986" s="110"/>
      <c r="AQ986" s="109"/>
      <c r="AR986" s="111"/>
      <c r="AS986" s="109"/>
      <c r="AT986" s="109"/>
      <c r="AU986" s="110"/>
      <c r="AV986" s="109"/>
      <c r="AW986" s="111"/>
      <c r="AX986" s="109"/>
      <c r="AY986" s="109"/>
      <c r="AZ986" s="110"/>
      <c r="BA986" s="109"/>
      <c r="BB986" s="111"/>
      <c r="BC986" s="109"/>
      <c r="BD986" s="109"/>
      <c r="BE986" s="110"/>
      <c r="BF986" s="109"/>
      <c r="BG986" s="111"/>
      <c r="BH986" s="109"/>
      <c r="BI986" s="109"/>
      <c r="BJ986" s="110"/>
      <c r="BK986" s="109"/>
      <c r="BL986" s="111"/>
      <c r="BM986" s="109"/>
      <c r="BN986" s="109"/>
      <c r="BO986" s="110"/>
      <c r="BP986" s="109"/>
      <c r="BQ986" s="111"/>
      <c r="BR986" s="109"/>
      <c r="BS986" s="109"/>
      <c r="BT986" s="110"/>
      <c r="BU986" s="109"/>
      <c r="BV986" s="111"/>
      <c r="BW986" s="109"/>
      <c r="BX986" s="109"/>
      <c r="BY986" s="110"/>
      <c r="BZ986" s="109"/>
      <c r="CA986" s="111"/>
      <c r="CB986" s="109"/>
      <c r="CC986" s="109"/>
      <c r="CD986" s="110"/>
      <c r="CE986" s="109"/>
      <c r="CF986" s="111"/>
      <c r="CG986" s="109"/>
      <c r="CH986" s="109"/>
      <c r="CI986" s="110"/>
      <c r="CJ986" s="109"/>
      <c r="CK986" s="111"/>
      <c r="CL986" s="109"/>
      <c r="CM986" s="109"/>
      <c r="CN986" s="110"/>
      <c r="CO986" s="109"/>
      <c r="CP986" s="111"/>
      <c r="CQ986" s="109"/>
      <c r="CR986" s="109"/>
      <c r="CS986" s="110"/>
      <c r="CT986" s="109"/>
      <c r="CU986" s="111"/>
      <c r="CV986" s="109"/>
      <c r="CW986" s="109"/>
      <c r="CX986" s="110"/>
      <c r="CY986" s="109"/>
      <c r="CZ986" s="111"/>
      <c r="DA986" s="109"/>
      <c r="DB986" s="109"/>
      <c r="DC986" s="110"/>
      <c r="DD986" s="109"/>
      <c r="DE986" s="111"/>
      <c r="DF986" s="109"/>
      <c r="DG986" s="109"/>
      <c r="DH986" s="110"/>
      <c r="DI986" s="109"/>
      <c r="DJ986" s="111"/>
      <c r="DK986" s="109"/>
      <c r="DL986" s="109"/>
      <c r="DM986" s="110"/>
      <c r="DN986" s="109"/>
      <c r="DO986" s="111"/>
      <c r="DP986" s="109"/>
      <c r="DQ986" s="109"/>
      <c r="DR986" s="110"/>
      <c r="DS986" s="109"/>
      <c r="DT986" s="111"/>
      <c r="DU986" s="109"/>
      <c r="DV986" s="109"/>
      <c r="DW986" s="110"/>
      <c r="DX986" s="109"/>
      <c r="DY986" s="111"/>
      <c r="DZ986" s="109"/>
      <c r="EA986" s="109"/>
      <c r="EB986" s="110"/>
      <c r="EC986" s="109"/>
      <c r="ED986" s="111"/>
      <c r="EE986" s="109"/>
      <c r="EF986" s="109"/>
      <c r="EG986" s="110"/>
      <c r="EH986" s="109"/>
      <c r="EI986" s="111"/>
      <c r="EJ986" s="109"/>
      <c r="EK986" s="109"/>
      <c r="EL986" s="110"/>
      <c r="EM986" s="109"/>
      <c r="EN986" s="111"/>
      <c r="EO986" s="109"/>
      <c r="EP986" s="109"/>
      <c r="EQ986" s="110"/>
      <c r="ER986" s="109"/>
      <c r="ES986" s="111"/>
      <c r="ET986" s="109"/>
      <c r="EU986" s="109"/>
      <c r="EV986" s="110"/>
      <c r="EW986" s="109"/>
      <c r="EX986" s="111"/>
      <c r="EY986" s="109"/>
      <c r="EZ986" s="109"/>
      <c r="FA986" s="110"/>
      <c r="FB986" s="109"/>
      <c r="FC986" s="111"/>
      <c r="FD986" s="109"/>
      <c r="FE986" s="109"/>
      <c r="FF986" s="110"/>
      <c r="FG986" s="109"/>
      <c r="FH986" s="111"/>
      <c r="FI986" s="109"/>
      <c r="FJ986" s="109"/>
      <c r="FK986" s="110"/>
      <c r="FL986" s="109"/>
      <c r="FM986" s="111"/>
      <c r="FN986" s="109"/>
      <c r="FO986" s="109"/>
      <c r="FP986" s="110"/>
      <c r="FQ986" s="109"/>
      <c r="FR986" s="111"/>
      <c r="FS986" s="109"/>
      <c r="FT986" s="109"/>
      <c r="FU986" s="110"/>
      <c r="FV986" s="109"/>
      <c r="FW986" s="111"/>
      <c r="FX986" s="109"/>
      <c r="FY986" s="109"/>
      <c r="FZ986" s="110"/>
      <c r="GA986" s="109"/>
      <c r="GB986" s="111"/>
      <c r="GC986" s="109"/>
      <c r="GD986" s="109"/>
      <c r="GE986" s="110"/>
      <c r="GF986" s="109"/>
      <c r="GG986" s="111"/>
      <c r="GH986" s="109"/>
      <c r="GI986" s="109"/>
      <c r="GJ986" s="110"/>
      <c r="GK986" s="109"/>
      <c r="GL986" s="111"/>
      <c r="GM986" s="109"/>
      <c r="GN986" s="109"/>
      <c r="GO986" s="110"/>
      <c r="GP986" s="109"/>
      <c r="GQ986" s="111"/>
      <c r="GR986" s="109"/>
      <c r="GS986" s="109"/>
      <c r="GT986" s="110"/>
      <c r="GU986" s="109"/>
      <c r="GV986" s="111"/>
      <c r="GW986" s="109"/>
      <c r="GX986" s="109"/>
      <c r="GY986" s="110"/>
      <c r="GZ986" s="109"/>
      <c r="HA986" s="111"/>
      <c r="HB986" s="109"/>
      <c r="HC986" s="109"/>
      <c r="HD986" s="110"/>
      <c r="HE986" s="109"/>
      <c r="HF986" s="111"/>
      <c r="HG986" s="109"/>
      <c r="HH986" s="109"/>
      <c r="HI986" s="110"/>
      <c r="HJ986" s="109"/>
      <c r="HK986" s="111"/>
      <c r="HL986" s="109"/>
      <c r="HM986" s="109"/>
      <c r="HN986" s="110"/>
      <c r="HO986" s="109"/>
      <c r="HP986" s="111"/>
      <c r="HQ986" s="109"/>
      <c r="HR986" s="109"/>
      <c r="HS986" s="110"/>
      <c r="HT986" s="109"/>
      <c r="HU986" s="111"/>
      <c r="HV986" s="109"/>
      <c r="HW986" s="109"/>
      <c r="HX986" s="110"/>
      <c r="HY986" s="109"/>
      <c r="HZ986" s="111"/>
      <c r="IA986" s="109"/>
      <c r="IB986" s="109"/>
      <c r="IC986" s="110"/>
      <c r="ID986" s="109"/>
      <c r="IE986" s="111"/>
      <c r="IF986" s="109"/>
      <c r="IG986" s="109"/>
      <c r="IH986" s="110"/>
      <c r="II986" s="109"/>
      <c r="IJ986" s="111"/>
      <c r="IK986" s="109"/>
      <c r="IL986" s="109"/>
      <c r="IM986" s="110"/>
      <c r="IN986" s="109"/>
      <c r="IO986" s="111"/>
      <c r="IP986" s="109"/>
      <c r="IQ986" s="109"/>
      <c r="IR986" s="110"/>
      <c r="IS986" s="109"/>
      <c r="IT986" s="111"/>
      <c r="IU986" s="109"/>
      <c r="IV986" s="109"/>
    </row>
    <row r="987" spans="1:256" s="123" customFormat="1" ht="14.25">
      <c r="A987" s="134">
        <v>37285</v>
      </c>
      <c r="B987" s="111">
        <v>39.9232</v>
      </c>
      <c r="C987" s="111">
        <f t="shared" si="16"/>
        <v>0.0399232</v>
      </c>
      <c r="D987" s="111">
        <v>23.2398</v>
      </c>
      <c r="E987" s="111">
        <v>27.0923</v>
      </c>
      <c r="F987" s="132"/>
      <c r="G987"/>
      <c r="H987" s="109"/>
      <c r="I987" s="111"/>
      <c r="J987" s="109"/>
      <c r="K987" s="109"/>
      <c r="L987" s="110"/>
      <c r="M987" s="109"/>
      <c r="N987" s="111"/>
      <c r="O987" s="109"/>
      <c r="P987" s="109"/>
      <c r="Q987" s="110"/>
      <c r="R987" s="109"/>
      <c r="S987" s="111"/>
      <c r="T987" s="109"/>
      <c r="U987" s="109"/>
      <c r="V987" s="110"/>
      <c r="W987" s="109"/>
      <c r="X987" s="111"/>
      <c r="Y987" s="109"/>
      <c r="Z987" s="109"/>
      <c r="AA987" s="110"/>
      <c r="AB987" s="109"/>
      <c r="AC987" s="111"/>
      <c r="AD987" s="109"/>
      <c r="AE987" s="109"/>
      <c r="AF987" s="110"/>
      <c r="AG987" s="109"/>
      <c r="AH987" s="111"/>
      <c r="AI987" s="109"/>
      <c r="AJ987" s="109"/>
      <c r="AK987" s="110"/>
      <c r="AL987" s="109"/>
      <c r="AM987" s="111"/>
      <c r="AN987" s="109"/>
      <c r="AO987" s="109"/>
      <c r="AP987" s="110"/>
      <c r="AQ987" s="109"/>
      <c r="AR987" s="111"/>
      <c r="AS987" s="109"/>
      <c r="AT987" s="109"/>
      <c r="AU987" s="110"/>
      <c r="AV987" s="109"/>
      <c r="AW987" s="111"/>
      <c r="AX987" s="109"/>
      <c r="AY987" s="109"/>
      <c r="AZ987" s="110"/>
      <c r="BA987" s="109"/>
      <c r="BB987" s="111"/>
      <c r="BC987" s="109"/>
      <c r="BD987" s="109"/>
      <c r="BE987" s="110"/>
      <c r="BF987" s="109"/>
      <c r="BG987" s="111"/>
      <c r="BH987" s="109"/>
      <c r="BI987" s="109"/>
      <c r="BJ987" s="110"/>
      <c r="BK987" s="109"/>
      <c r="BL987" s="111"/>
      <c r="BM987" s="109"/>
      <c r="BN987" s="109"/>
      <c r="BO987" s="110"/>
      <c r="BP987" s="109"/>
      <c r="BQ987" s="111"/>
      <c r="BR987" s="109"/>
      <c r="BS987" s="109"/>
      <c r="BT987" s="110"/>
      <c r="BU987" s="109"/>
      <c r="BV987" s="111"/>
      <c r="BW987" s="109"/>
      <c r="BX987" s="109"/>
      <c r="BY987" s="110"/>
      <c r="BZ987" s="109"/>
      <c r="CA987" s="111"/>
      <c r="CB987" s="109"/>
      <c r="CC987" s="109"/>
      <c r="CD987" s="110"/>
      <c r="CE987" s="109"/>
      <c r="CF987" s="111"/>
      <c r="CG987" s="109"/>
      <c r="CH987" s="109"/>
      <c r="CI987" s="110"/>
      <c r="CJ987" s="109"/>
      <c r="CK987" s="111"/>
      <c r="CL987" s="109"/>
      <c r="CM987" s="109"/>
      <c r="CN987" s="110"/>
      <c r="CO987" s="109"/>
      <c r="CP987" s="111"/>
      <c r="CQ987" s="109"/>
      <c r="CR987" s="109"/>
      <c r="CS987" s="110"/>
      <c r="CT987" s="109"/>
      <c r="CU987" s="111"/>
      <c r="CV987" s="109"/>
      <c r="CW987" s="109"/>
      <c r="CX987" s="110"/>
      <c r="CY987" s="109"/>
      <c r="CZ987" s="111"/>
      <c r="DA987" s="109"/>
      <c r="DB987" s="109"/>
      <c r="DC987" s="110"/>
      <c r="DD987" s="109"/>
      <c r="DE987" s="111"/>
      <c r="DF987" s="109"/>
      <c r="DG987" s="109"/>
      <c r="DH987" s="110"/>
      <c r="DI987" s="109"/>
      <c r="DJ987" s="111"/>
      <c r="DK987" s="109"/>
      <c r="DL987" s="109"/>
      <c r="DM987" s="110"/>
      <c r="DN987" s="109"/>
      <c r="DO987" s="111"/>
      <c r="DP987" s="109"/>
      <c r="DQ987" s="109"/>
      <c r="DR987" s="110"/>
      <c r="DS987" s="109"/>
      <c r="DT987" s="111"/>
      <c r="DU987" s="109"/>
      <c r="DV987" s="109"/>
      <c r="DW987" s="110"/>
      <c r="DX987" s="109"/>
      <c r="DY987" s="111"/>
      <c r="DZ987" s="109"/>
      <c r="EA987" s="109"/>
      <c r="EB987" s="110"/>
      <c r="EC987" s="109"/>
      <c r="ED987" s="111"/>
      <c r="EE987" s="109"/>
      <c r="EF987" s="109"/>
      <c r="EG987" s="110"/>
      <c r="EH987" s="109"/>
      <c r="EI987" s="111"/>
      <c r="EJ987" s="109"/>
      <c r="EK987" s="109"/>
      <c r="EL987" s="110"/>
      <c r="EM987" s="109"/>
      <c r="EN987" s="111"/>
      <c r="EO987" s="109"/>
      <c r="EP987" s="109"/>
      <c r="EQ987" s="110"/>
      <c r="ER987" s="109"/>
      <c r="ES987" s="111"/>
      <c r="ET987" s="109"/>
      <c r="EU987" s="109"/>
      <c r="EV987" s="110"/>
      <c r="EW987" s="109"/>
      <c r="EX987" s="111"/>
      <c r="EY987" s="109"/>
      <c r="EZ987" s="109"/>
      <c r="FA987" s="110"/>
      <c r="FB987" s="109"/>
      <c r="FC987" s="111"/>
      <c r="FD987" s="109"/>
      <c r="FE987" s="109"/>
      <c r="FF987" s="110"/>
      <c r="FG987" s="109"/>
      <c r="FH987" s="111"/>
      <c r="FI987" s="109"/>
      <c r="FJ987" s="109"/>
      <c r="FK987" s="110"/>
      <c r="FL987" s="109"/>
      <c r="FM987" s="111"/>
      <c r="FN987" s="109"/>
      <c r="FO987" s="109"/>
      <c r="FP987" s="110"/>
      <c r="FQ987" s="109"/>
      <c r="FR987" s="111"/>
      <c r="FS987" s="109"/>
      <c r="FT987" s="109"/>
      <c r="FU987" s="110"/>
      <c r="FV987" s="109"/>
      <c r="FW987" s="111"/>
      <c r="FX987" s="109"/>
      <c r="FY987" s="109"/>
      <c r="FZ987" s="110"/>
      <c r="GA987" s="109"/>
      <c r="GB987" s="111"/>
      <c r="GC987" s="109"/>
      <c r="GD987" s="109"/>
      <c r="GE987" s="110"/>
      <c r="GF987" s="109"/>
      <c r="GG987" s="111"/>
      <c r="GH987" s="109"/>
      <c r="GI987" s="109"/>
      <c r="GJ987" s="110"/>
      <c r="GK987" s="109"/>
      <c r="GL987" s="111"/>
      <c r="GM987" s="109"/>
      <c r="GN987" s="109"/>
      <c r="GO987" s="110"/>
      <c r="GP987" s="109"/>
      <c r="GQ987" s="111"/>
      <c r="GR987" s="109"/>
      <c r="GS987" s="109"/>
      <c r="GT987" s="110"/>
      <c r="GU987" s="109"/>
      <c r="GV987" s="111"/>
      <c r="GW987" s="109"/>
      <c r="GX987" s="109"/>
      <c r="GY987" s="110"/>
      <c r="GZ987" s="109"/>
      <c r="HA987" s="111"/>
      <c r="HB987" s="109"/>
      <c r="HC987" s="109"/>
      <c r="HD987" s="110"/>
      <c r="HE987" s="109"/>
      <c r="HF987" s="111"/>
      <c r="HG987" s="109"/>
      <c r="HH987" s="109"/>
      <c r="HI987" s="110"/>
      <c r="HJ987" s="109"/>
      <c r="HK987" s="111"/>
      <c r="HL987" s="109"/>
      <c r="HM987" s="109"/>
      <c r="HN987" s="110"/>
      <c r="HO987" s="109"/>
      <c r="HP987" s="111"/>
      <c r="HQ987" s="109"/>
      <c r="HR987" s="109"/>
      <c r="HS987" s="110"/>
      <c r="HT987" s="109"/>
      <c r="HU987" s="111"/>
      <c r="HV987" s="109"/>
      <c r="HW987" s="109"/>
      <c r="HX987" s="110"/>
      <c r="HY987" s="109"/>
      <c r="HZ987" s="111"/>
      <c r="IA987" s="109"/>
      <c r="IB987" s="109"/>
      <c r="IC987" s="110"/>
      <c r="ID987" s="109"/>
      <c r="IE987" s="111"/>
      <c r="IF987" s="109"/>
      <c r="IG987" s="109"/>
      <c r="IH987" s="110"/>
      <c r="II987" s="109"/>
      <c r="IJ987" s="111"/>
      <c r="IK987" s="109"/>
      <c r="IL987" s="109"/>
      <c r="IM987" s="110"/>
      <c r="IN987" s="109"/>
      <c r="IO987" s="111"/>
      <c r="IP987" s="109"/>
      <c r="IQ987" s="109"/>
      <c r="IR987" s="110"/>
      <c r="IS987" s="109"/>
      <c r="IT987" s="111"/>
      <c r="IU987" s="109"/>
      <c r="IV987" s="109"/>
    </row>
    <row r="988" spans="1:256" s="123" customFormat="1" ht="14.25">
      <c r="A988" s="134">
        <v>37286</v>
      </c>
      <c r="B988" s="111">
        <v>39.9284</v>
      </c>
      <c r="C988" s="111">
        <f t="shared" si="16"/>
        <v>0.0399284</v>
      </c>
      <c r="D988" s="111">
        <v>23.3976</v>
      </c>
      <c r="E988" s="111">
        <v>27.1308</v>
      </c>
      <c r="F988" s="132"/>
      <c r="G988"/>
      <c r="H988" s="109" t="s">
        <v>732</v>
      </c>
      <c r="I988" s="111"/>
      <c r="J988" s="109"/>
      <c r="K988" s="109"/>
      <c r="L988" s="110"/>
      <c r="M988" s="109"/>
      <c r="N988" s="111"/>
      <c r="O988" s="109"/>
      <c r="P988" s="109"/>
      <c r="Q988" s="110"/>
      <c r="R988" s="109"/>
      <c r="S988" s="111"/>
      <c r="T988" s="109"/>
      <c r="U988" s="109"/>
      <c r="V988" s="110"/>
      <c r="W988" s="109"/>
      <c r="X988" s="111"/>
      <c r="Y988" s="109"/>
      <c r="Z988" s="109"/>
      <c r="AA988" s="110"/>
      <c r="AB988" s="109"/>
      <c r="AC988" s="111"/>
      <c r="AD988" s="109"/>
      <c r="AE988" s="109"/>
      <c r="AF988" s="110"/>
      <c r="AG988" s="109"/>
      <c r="AH988" s="111"/>
      <c r="AI988" s="109"/>
      <c r="AJ988" s="109"/>
      <c r="AK988" s="110"/>
      <c r="AL988" s="109"/>
      <c r="AM988" s="111"/>
      <c r="AN988" s="109"/>
      <c r="AO988" s="109"/>
      <c r="AP988" s="110"/>
      <c r="AQ988" s="109"/>
      <c r="AR988" s="111"/>
      <c r="AS988" s="109"/>
      <c r="AT988" s="109"/>
      <c r="AU988" s="110"/>
      <c r="AV988" s="109"/>
      <c r="AW988" s="111"/>
      <c r="AX988" s="109"/>
      <c r="AY988" s="109"/>
      <c r="AZ988" s="110"/>
      <c r="BA988" s="109"/>
      <c r="BB988" s="111"/>
      <c r="BC988" s="109"/>
      <c r="BD988" s="109"/>
      <c r="BE988" s="110"/>
      <c r="BF988" s="109"/>
      <c r="BG988" s="111"/>
      <c r="BH988" s="109"/>
      <c r="BI988" s="109"/>
      <c r="BJ988" s="110"/>
      <c r="BK988" s="109"/>
      <c r="BL988" s="111"/>
      <c r="BM988" s="109"/>
      <c r="BN988" s="109"/>
      <c r="BO988" s="110"/>
      <c r="BP988" s="109"/>
      <c r="BQ988" s="111"/>
      <c r="BR988" s="109"/>
      <c r="BS988" s="109"/>
      <c r="BT988" s="110"/>
      <c r="BU988" s="109"/>
      <c r="BV988" s="111"/>
      <c r="BW988" s="109"/>
      <c r="BX988" s="109"/>
      <c r="BY988" s="110"/>
      <c r="BZ988" s="109"/>
      <c r="CA988" s="111"/>
      <c r="CB988" s="109"/>
      <c r="CC988" s="109"/>
      <c r="CD988" s="110"/>
      <c r="CE988" s="109"/>
      <c r="CF988" s="111"/>
      <c r="CG988" s="109"/>
      <c r="CH988" s="109"/>
      <c r="CI988" s="110"/>
      <c r="CJ988" s="109"/>
      <c r="CK988" s="111"/>
      <c r="CL988" s="109"/>
      <c r="CM988" s="109"/>
      <c r="CN988" s="110"/>
      <c r="CO988" s="109"/>
      <c r="CP988" s="111"/>
      <c r="CQ988" s="109"/>
      <c r="CR988" s="109"/>
      <c r="CS988" s="110"/>
      <c r="CT988" s="109"/>
      <c r="CU988" s="111"/>
      <c r="CV988" s="109"/>
      <c r="CW988" s="109"/>
      <c r="CX988" s="110"/>
      <c r="CY988" s="109"/>
      <c r="CZ988" s="111"/>
      <c r="DA988" s="109"/>
      <c r="DB988" s="109"/>
      <c r="DC988" s="110"/>
      <c r="DD988" s="109"/>
      <c r="DE988" s="111"/>
      <c r="DF988" s="109"/>
      <c r="DG988" s="109"/>
      <c r="DH988" s="110"/>
      <c r="DI988" s="109"/>
      <c r="DJ988" s="111"/>
      <c r="DK988" s="109"/>
      <c r="DL988" s="109"/>
      <c r="DM988" s="110"/>
      <c r="DN988" s="109"/>
      <c r="DO988" s="111"/>
      <c r="DP988" s="109"/>
      <c r="DQ988" s="109"/>
      <c r="DR988" s="110"/>
      <c r="DS988" s="109"/>
      <c r="DT988" s="111"/>
      <c r="DU988" s="109"/>
      <c r="DV988" s="109"/>
      <c r="DW988" s="110"/>
      <c r="DX988" s="109"/>
      <c r="DY988" s="111"/>
      <c r="DZ988" s="109"/>
      <c r="EA988" s="109"/>
      <c r="EB988" s="110"/>
      <c r="EC988" s="109"/>
      <c r="ED988" s="111"/>
      <c r="EE988" s="109"/>
      <c r="EF988" s="109"/>
      <c r="EG988" s="110"/>
      <c r="EH988" s="109"/>
      <c r="EI988" s="111"/>
      <c r="EJ988" s="109"/>
      <c r="EK988" s="109"/>
      <c r="EL988" s="110"/>
      <c r="EM988" s="109"/>
      <c r="EN988" s="111"/>
      <c r="EO988" s="109"/>
      <c r="EP988" s="109"/>
      <c r="EQ988" s="110"/>
      <c r="ER988" s="109"/>
      <c r="ES988" s="111"/>
      <c r="ET988" s="109"/>
      <c r="EU988" s="109"/>
      <c r="EV988" s="110"/>
      <c r="EW988" s="109"/>
      <c r="EX988" s="111"/>
      <c r="EY988" s="109"/>
      <c r="EZ988" s="109"/>
      <c r="FA988" s="110"/>
      <c r="FB988" s="109"/>
      <c r="FC988" s="111"/>
      <c r="FD988" s="109"/>
      <c r="FE988" s="109"/>
      <c r="FF988" s="110"/>
      <c r="FG988" s="109"/>
      <c r="FH988" s="111"/>
      <c r="FI988" s="109"/>
      <c r="FJ988" s="109"/>
      <c r="FK988" s="110"/>
      <c r="FL988" s="109"/>
      <c r="FM988" s="111"/>
      <c r="FN988" s="109"/>
      <c r="FO988" s="109"/>
      <c r="FP988" s="110"/>
      <c r="FQ988" s="109"/>
      <c r="FR988" s="111"/>
      <c r="FS988" s="109"/>
      <c r="FT988" s="109"/>
      <c r="FU988" s="110"/>
      <c r="FV988" s="109"/>
      <c r="FW988" s="111"/>
      <c r="FX988" s="109"/>
      <c r="FY988" s="109"/>
      <c r="FZ988" s="110"/>
      <c r="GA988" s="109"/>
      <c r="GB988" s="111"/>
      <c r="GC988" s="109"/>
      <c r="GD988" s="109"/>
      <c r="GE988" s="110"/>
      <c r="GF988" s="109"/>
      <c r="GG988" s="111"/>
      <c r="GH988" s="109"/>
      <c r="GI988" s="109"/>
      <c r="GJ988" s="110"/>
      <c r="GK988" s="109"/>
      <c r="GL988" s="111"/>
      <c r="GM988" s="109"/>
      <c r="GN988" s="109"/>
      <c r="GO988" s="110"/>
      <c r="GP988" s="109"/>
      <c r="GQ988" s="111"/>
      <c r="GR988" s="109"/>
      <c r="GS988" s="109"/>
      <c r="GT988" s="110"/>
      <c r="GU988" s="109"/>
      <c r="GV988" s="111"/>
      <c r="GW988" s="109"/>
      <c r="GX988" s="109"/>
      <c r="GY988" s="110"/>
      <c r="GZ988" s="109"/>
      <c r="HA988" s="111"/>
      <c r="HB988" s="109"/>
      <c r="HC988" s="109"/>
      <c r="HD988" s="110"/>
      <c r="HE988" s="109"/>
      <c r="HF988" s="111"/>
      <c r="HG988" s="109"/>
      <c r="HH988" s="109"/>
      <c r="HI988" s="110"/>
      <c r="HJ988" s="109"/>
      <c r="HK988" s="111"/>
      <c r="HL988" s="109"/>
      <c r="HM988" s="109"/>
      <c r="HN988" s="110"/>
      <c r="HO988" s="109"/>
      <c r="HP988" s="111"/>
      <c r="HQ988" s="109"/>
      <c r="HR988" s="109"/>
      <c r="HS988" s="110"/>
      <c r="HT988" s="109"/>
      <c r="HU988" s="111"/>
      <c r="HV988" s="109"/>
      <c r="HW988" s="109"/>
      <c r="HX988" s="110"/>
      <c r="HY988" s="109"/>
      <c r="HZ988" s="111"/>
      <c r="IA988" s="109"/>
      <c r="IB988" s="109"/>
      <c r="IC988" s="110"/>
      <c r="ID988" s="109"/>
      <c r="IE988" s="111"/>
      <c r="IF988" s="109"/>
      <c r="IG988" s="109"/>
      <c r="IH988" s="110"/>
      <c r="II988" s="109"/>
      <c r="IJ988" s="111"/>
      <c r="IK988" s="109"/>
      <c r="IL988" s="109"/>
      <c r="IM988" s="110"/>
      <c r="IN988" s="109"/>
      <c r="IO988" s="111"/>
      <c r="IP988" s="109"/>
      <c r="IQ988" s="109"/>
      <c r="IR988" s="110"/>
      <c r="IS988" s="109"/>
      <c r="IT988" s="111"/>
      <c r="IU988" s="109"/>
      <c r="IV988" s="109"/>
    </row>
    <row r="989" spans="1:256" s="123" customFormat="1" ht="14.25">
      <c r="A989" s="134">
        <v>37287</v>
      </c>
      <c r="B989" s="111">
        <v>40.7215</v>
      </c>
      <c r="C989" s="111">
        <f t="shared" si="16"/>
        <v>0.0407215</v>
      </c>
      <c r="D989" s="111">
        <v>23.9251</v>
      </c>
      <c r="E989" s="111">
        <v>27.6847</v>
      </c>
      <c r="F989" s="132"/>
      <c r="G989"/>
      <c r="H989" s="109" t="s">
        <v>733</v>
      </c>
      <c r="I989" s="111"/>
      <c r="J989" s="109"/>
      <c r="K989" s="109"/>
      <c r="L989" s="110"/>
      <c r="M989" s="109"/>
      <c r="N989" s="111"/>
      <c r="O989" s="109"/>
      <c r="P989" s="109"/>
      <c r="Q989" s="110"/>
      <c r="R989" s="109"/>
      <c r="S989" s="111"/>
      <c r="T989" s="109"/>
      <c r="U989" s="109"/>
      <c r="V989" s="110"/>
      <c r="W989" s="109"/>
      <c r="X989" s="111"/>
      <c r="Y989" s="109"/>
      <c r="Z989" s="109"/>
      <c r="AA989" s="110"/>
      <c r="AB989" s="109"/>
      <c r="AC989" s="111"/>
      <c r="AD989" s="109"/>
      <c r="AE989" s="109"/>
      <c r="AF989" s="110"/>
      <c r="AG989" s="109"/>
      <c r="AH989" s="111"/>
      <c r="AI989" s="109"/>
      <c r="AJ989" s="109"/>
      <c r="AK989" s="110"/>
      <c r="AL989" s="109"/>
      <c r="AM989" s="111"/>
      <c r="AN989" s="109"/>
      <c r="AO989" s="109"/>
      <c r="AP989" s="110"/>
      <c r="AQ989" s="109"/>
      <c r="AR989" s="111"/>
      <c r="AS989" s="109"/>
      <c r="AT989" s="109"/>
      <c r="AU989" s="110"/>
      <c r="AV989" s="109"/>
      <c r="AW989" s="111"/>
      <c r="AX989" s="109"/>
      <c r="AY989" s="109"/>
      <c r="AZ989" s="110"/>
      <c r="BA989" s="109"/>
      <c r="BB989" s="111"/>
      <c r="BC989" s="109"/>
      <c r="BD989" s="109"/>
      <c r="BE989" s="110"/>
      <c r="BF989" s="109"/>
      <c r="BG989" s="111"/>
      <c r="BH989" s="109"/>
      <c r="BI989" s="109"/>
      <c r="BJ989" s="110"/>
      <c r="BK989" s="109"/>
      <c r="BL989" s="111"/>
      <c r="BM989" s="109"/>
      <c r="BN989" s="109"/>
      <c r="BO989" s="110"/>
      <c r="BP989" s="109"/>
      <c r="BQ989" s="111"/>
      <c r="BR989" s="109"/>
      <c r="BS989" s="109"/>
      <c r="BT989" s="110"/>
      <c r="BU989" s="109"/>
      <c r="BV989" s="111"/>
      <c r="BW989" s="109"/>
      <c r="BX989" s="109"/>
      <c r="BY989" s="110"/>
      <c r="BZ989" s="109"/>
      <c r="CA989" s="111"/>
      <c r="CB989" s="109"/>
      <c r="CC989" s="109"/>
      <c r="CD989" s="110"/>
      <c r="CE989" s="109"/>
      <c r="CF989" s="111"/>
      <c r="CG989" s="109"/>
      <c r="CH989" s="109"/>
      <c r="CI989" s="110"/>
      <c r="CJ989" s="109"/>
      <c r="CK989" s="111"/>
      <c r="CL989" s="109"/>
      <c r="CM989" s="109"/>
      <c r="CN989" s="110"/>
      <c r="CO989" s="109"/>
      <c r="CP989" s="111"/>
      <c r="CQ989" s="109"/>
      <c r="CR989" s="109"/>
      <c r="CS989" s="110"/>
      <c r="CT989" s="109"/>
      <c r="CU989" s="111"/>
      <c r="CV989" s="109"/>
      <c r="CW989" s="109"/>
      <c r="CX989" s="110"/>
      <c r="CY989" s="109"/>
      <c r="CZ989" s="111"/>
      <c r="DA989" s="109"/>
      <c r="DB989" s="109"/>
      <c r="DC989" s="110"/>
      <c r="DD989" s="109"/>
      <c r="DE989" s="111"/>
      <c r="DF989" s="109"/>
      <c r="DG989" s="109"/>
      <c r="DH989" s="110"/>
      <c r="DI989" s="109"/>
      <c r="DJ989" s="111"/>
      <c r="DK989" s="109"/>
      <c r="DL989" s="109"/>
      <c r="DM989" s="110"/>
      <c r="DN989" s="109"/>
      <c r="DO989" s="111"/>
      <c r="DP989" s="109"/>
      <c r="DQ989" s="109"/>
      <c r="DR989" s="110"/>
      <c r="DS989" s="109"/>
      <c r="DT989" s="111"/>
      <c r="DU989" s="109"/>
      <c r="DV989" s="109"/>
      <c r="DW989" s="110"/>
      <c r="DX989" s="109"/>
      <c r="DY989" s="111"/>
      <c r="DZ989" s="109"/>
      <c r="EA989" s="109"/>
      <c r="EB989" s="110"/>
      <c r="EC989" s="109"/>
      <c r="ED989" s="111"/>
      <c r="EE989" s="109"/>
      <c r="EF989" s="109"/>
      <c r="EG989" s="110"/>
      <c r="EH989" s="109"/>
      <c r="EI989" s="111"/>
      <c r="EJ989" s="109"/>
      <c r="EK989" s="109"/>
      <c r="EL989" s="110"/>
      <c r="EM989" s="109"/>
      <c r="EN989" s="111"/>
      <c r="EO989" s="109"/>
      <c r="EP989" s="109"/>
      <c r="EQ989" s="110"/>
      <c r="ER989" s="109"/>
      <c r="ES989" s="111"/>
      <c r="ET989" s="109"/>
      <c r="EU989" s="109"/>
      <c r="EV989" s="110"/>
      <c r="EW989" s="109"/>
      <c r="EX989" s="111"/>
      <c r="EY989" s="109"/>
      <c r="EZ989" s="109"/>
      <c r="FA989" s="110"/>
      <c r="FB989" s="109"/>
      <c r="FC989" s="111"/>
      <c r="FD989" s="109"/>
      <c r="FE989" s="109"/>
      <c r="FF989" s="110"/>
      <c r="FG989" s="109"/>
      <c r="FH989" s="111"/>
      <c r="FI989" s="109"/>
      <c r="FJ989" s="109"/>
      <c r="FK989" s="110"/>
      <c r="FL989" s="109"/>
      <c r="FM989" s="111"/>
      <c r="FN989" s="109"/>
      <c r="FO989" s="109"/>
      <c r="FP989" s="110"/>
      <c r="FQ989" s="109"/>
      <c r="FR989" s="111"/>
      <c r="FS989" s="109"/>
      <c r="FT989" s="109"/>
      <c r="FU989" s="110"/>
      <c r="FV989" s="109"/>
      <c r="FW989" s="111"/>
      <c r="FX989" s="109"/>
      <c r="FY989" s="109"/>
      <c r="FZ989" s="110"/>
      <c r="GA989" s="109"/>
      <c r="GB989" s="111"/>
      <c r="GC989" s="109"/>
      <c r="GD989" s="109"/>
      <c r="GE989" s="110"/>
      <c r="GF989" s="109"/>
      <c r="GG989" s="111"/>
      <c r="GH989" s="109"/>
      <c r="GI989" s="109"/>
      <c r="GJ989" s="110"/>
      <c r="GK989" s="109"/>
      <c r="GL989" s="111"/>
      <c r="GM989" s="109"/>
      <c r="GN989" s="109"/>
      <c r="GO989" s="110"/>
      <c r="GP989" s="109"/>
      <c r="GQ989" s="111"/>
      <c r="GR989" s="109"/>
      <c r="GS989" s="109"/>
      <c r="GT989" s="110"/>
      <c r="GU989" s="109"/>
      <c r="GV989" s="111"/>
      <c r="GW989" s="109"/>
      <c r="GX989" s="109"/>
      <c r="GY989" s="110"/>
      <c r="GZ989" s="109"/>
      <c r="HA989" s="111"/>
      <c r="HB989" s="109"/>
      <c r="HC989" s="109"/>
      <c r="HD989" s="110"/>
      <c r="HE989" s="109"/>
      <c r="HF989" s="111"/>
      <c r="HG989" s="109"/>
      <c r="HH989" s="109"/>
      <c r="HI989" s="110"/>
      <c r="HJ989" s="109"/>
      <c r="HK989" s="111"/>
      <c r="HL989" s="109"/>
      <c r="HM989" s="109"/>
      <c r="HN989" s="110"/>
      <c r="HO989" s="109"/>
      <c r="HP989" s="111"/>
      <c r="HQ989" s="109"/>
      <c r="HR989" s="109"/>
      <c r="HS989" s="110"/>
      <c r="HT989" s="109"/>
      <c r="HU989" s="111"/>
      <c r="HV989" s="109"/>
      <c r="HW989" s="109"/>
      <c r="HX989" s="110"/>
      <c r="HY989" s="109"/>
      <c r="HZ989" s="111"/>
      <c r="IA989" s="109"/>
      <c r="IB989" s="109"/>
      <c r="IC989" s="110"/>
      <c r="ID989" s="109"/>
      <c r="IE989" s="111"/>
      <c r="IF989" s="109"/>
      <c r="IG989" s="109"/>
      <c r="IH989" s="110"/>
      <c r="II989" s="109"/>
      <c r="IJ989" s="111"/>
      <c r="IK989" s="109"/>
      <c r="IL989" s="109"/>
      <c r="IM989" s="110"/>
      <c r="IN989" s="109"/>
      <c r="IO989" s="111"/>
      <c r="IP989" s="109"/>
      <c r="IQ989" s="109"/>
      <c r="IR989" s="110"/>
      <c r="IS989" s="109"/>
      <c r="IT989" s="111"/>
      <c r="IU989" s="109"/>
      <c r="IV989" s="109"/>
    </row>
    <row r="990" spans="1:256" s="123" customFormat="1" ht="14.25">
      <c r="A990" s="134">
        <v>37288</v>
      </c>
      <c r="B990" s="111">
        <v>38.8743</v>
      </c>
      <c r="C990" s="111">
        <f t="shared" si="16"/>
        <v>0.0388743</v>
      </c>
      <c r="D990" s="111">
        <v>22.7663</v>
      </c>
      <c r="E990" s="111">
        <v>26.3591</v>
      </c>
      <c r="F990" s="132"/>
      <c r="G990"/>
      <c r="H990" s="109"/>
      <c r="I990" s="111"/>
      <c r="J990" s="109"/>
      <c r="K990" s="109"/>
      <c r="L990" s="110"/>
      <c r="M990" s="109"/>
      <c r="N990" s="111"/>
      <c r="O990" s="109"/>
      <c r="P990" s="109"/>
      <c r="Q990" s="110"/>
      <c r="R990" s="109"/>
      <c r="S990" s="111"/>
      <c r="T990" s="109"/>
      <c r="U990" s="109"/>
      <c r="V990" s="110"/>
      <c r="W990" s="109"/>
      <c r="X990" s="111"/>
      <c r="Y990" s="109"/>
      <c r="Z990" s="109"/>
      <c r="AA990" s="110"/>
      <c r="AB990" s="109"/>
      <c r="AC990" s="111"/>
      <c r="AD990" s="109"/>
      <c r="AE990" s="109"/>
      <c r="AF990" s="110"/>
      <c r="AG990" s="109"/>
      <c r="AH990" s="111"/>
      <c r="AI990" s="109"/>
      <c r="AJ990" s="109"/>
      <c r="AK990" s="110"/>
      <c r="AL990" s="109"/>
      <c r="AM990" s="111"/>
      <c r="AN990" s="109"/>
      <c r="AO990" s="109"/>
      <c r="AP990" s="110"/>
      <c r="AQ990" s="109"/>
      <c r="AR990" s="111"/>
      <c r="AS990" s="109"/>
      <c r="AT990" s="109"/>
      <c r="AU990" s="110"/>
      <c r="AV990" s="109"/>
      <c r="AW990" s="111"/>
      <c r="AX990" s="109"/>
      <c r="AY990" s="109"/>
      <c r="AZ990" s="110"/>
      <c r="BA990" s="109"/>
      <c r="BB990" s="111"/>
      <c r="BC990" s="109"/>
      <c r="BD990" s="109"/>
      <c r="BE990" s="110"/>
      <c r="BF990" s="109"/>
      <c r="BG990" s="111"/>
      <c r="BH990" s="109"/>
      <c r="BI990" s="109"/>
      <c r="BJ990" s="110"/>
      <c r="BK990" s="109"/>
      <c r="BL990" s="111"/>
      <c r="BM990" s="109"/>
      <c r="BN990" s="109"/>
      <c r="BO990" s="110"/>
      <c r="BP990" s="109"/>
      <c r="BQ990" s="111"/>
      <c r="BR990" s="109"/>
      <c r="BS990" s="109"/>
      <c r="BT990" s="110"/>
      <c r="BU990" s="109"/>
      <c r="BV990" s="111"/>
      <c r="BW990" s="109"/>
      <c r="BX990" s="109"/>
      <c r="BY990" s="110"/>
      <c r="BZ990" s="109"/>
      <c r="CA990" s="111"/>
      <c r="CB990" s="109"/>
      <c r="CC990" s="109"/>
      <c r="CD990" s="110"/>
      <c r="CE990" s="109"/>
      <c r="CF990" s="111"/>
      <c r="CG990" s="109"/>
      <c r="CH990" s="109"/>
      <c r="CI990" s="110"/>
      <c r="CJ990" s="109"/>
      <c r="CK990" s="111"/>
      <c r="CL990" s="109"/>
      <c r="CM990" s="109"/>
      <c r="CN990" s="110"/>
      <c r="CO990" s="109"/>
      <c r="CP990" s="111"/>
      <c r="CQ990" s="109"/>
      <c r="CR990" s="109"/>
      <c r="CS990" s="110"/>
      <c r="CT990" s="109"/>
      <c r="CU990" s="111"/>
      <c r="CV990" s="109"/>
      <c r="CW990" s="109"/>
      <c r="CX990" s="110"/>
      <c r="CY990" s="109"/>
      <c r="CZ990" s="111"/>
      <c r="DA990" s="109"/>
      <c r="DB990" s="109"/>
      <c r="DC990" s="110"/>
      <c r="DD990" s="109"/>
      <c r="DE990" s="111"/>
      <c r="DF990" s="109"/>
      <c r="DG990" s="109"/>
      <c r="DH990" s="110"/>
      <c r="DI990" s="109"/>
      <c r="DJ990" s="111"/>
      <c r="DK990" s="109"/>
      <c r="DL990" s="109"/>
      <c r="DM990" s="110"/>
      <c r="DN990" s="109"/>
      <c r="DO990" s="111"/>
      <c r="DP990" s="109"/>
      <c r="DQ990" s="109"/>
      <c r="DR990" s="110"/>
      <c r="DS990" s="109"/>
      <c r="DT990" s="111"/>
      <c r="DU990" s="109"/>
      <c r="DV990" s="109"/>
      <c r="DW990" s="110"/>
      <c r="DX990" s="109"/>
      <c r="DY990" s="111"/>
      <c r="DZ990" s="109"/>
      <c r="EA990" s="109"/>
      <c r="EB990" s="110"/>
      <c r="EC990" s="109"/>
      <c r="ED990" s="111"/>
      <c r="EE990" s="109"/>
      <c r="EF990" s="109"/>
      <c r="EG990" s="110"/>
      <c r="EH990" s="109"/>
      <c r="EI990" s="111"/>
      <c r="EJ990" s="109"/>
      <c r="EK990" s="109"/>
      <c r="EL990" s="110"/>
      <c r="EM990" s="109"/>
      <c r="EN990" s="111"/>
      <c r="EO990" s="109"/>
      <c r="EP990" s="109"/>
      <c r="EQ990" s="110"/>
      <c r="ER990" s="109"/>
      <c r="ES990" s="111"/>
      <c r="ET990" s="109"/>
      <c r="EU990" s="109"/>
      <c r="EV990" s="110"/>
      <c r="EW990" s="109"/>
      <c r="EX990" s="111"/>
      <c r="EY990" s="109"/>
      <c r="EZ990" s="109"/>
      <c r="FA990" s="110"/>
      <c r="FB990" s="109"/>
      <c r="FC990" s="111"/>
      <c r="FD990" s="109"/>
      <c r="FE990" s="109"/>
      <c r="FF990" s="110"/>
      <c r="FG990" s="109"/>
      <c r="FH990" s="111"/>
      <c r="FI990" s="109"/>
      <c r="FJ990" s="109"/>
      <c r="FK990" s="110"/>
      <c r="FL990" s="109"/>
      <c r="FM990" s="111"/>
      <c r="FN990" s="109"/>
      <c r="FO990" s="109"/>
      <c r="FP990" s="110"/>
      <c r="FQ990" s="109"/>
      <c r="FR990" s="111"/>
      <c r="FS990" s="109"/>
      <c r="FT990" s="109"/>
      <c r="FU990" s="110"/>
      <c r="FV990" s="109"/>
      <c r="FW990" s="111"/>
      <c r="FX990" s="109"/>
      <c r="FY990" s="109"/>
      <c r="FZ990" s="110"/>
      <c r="GA990" s="109"/>
      <c r="GB990" s="111"/>
      <c r="GC990" s="109"/>
      <c r="GD990" s="109"/>
      <c r="GE990" s="110"/>
      <c r="GF990" s="109"/>
      <c r="GG990" s="111"/>
      <c r="GH990" s="109"/>
      <c r="GI990" s="109"/>
      <c r="GJ990" s="110"/>
      <c r="GK990" s="109"/>
      <c r="GL990" s="111"/>
      <c r="GM990" s="109"/>
      <c r="GN990" s="109"/>
      <c r="GO990" s="110"/>
      <c r="GP990" s="109"/>
      <c r="GQ990" s="111"/>
      <c r="GR990" s="109"/>
      <c r="GS990" s="109"/>
      <c r="GT990" s="110"/>
      <c r="GU990" s="109"/>
      <c r="GV990" s="111"/>
      <c r="GW990" s="109"/>
      <c r="GX990" s="109"/>
      <c r="GY990" s="110"/>
      <c r="GZ990" s="109"/>
      <c r="HA990" s="111"/>
      <c r="HB990" s="109"/>
      <c r="HC990" s="109"/>
      <c r="HD990" s="110"/>
      <c r="HE990" s="109"/>
      <c r="HF990" s="111"/>
      <c r="HG990" s="109"/>
      <c r="HH990" s="109"/>
      <c r="HI990" s="110"/>
      <c r="HJ990" s="109"/>
      <c r="HK990" s="111"/>
      <c r="HL990" s="109"/>
      <c r="HM990" s="109"/>
      <c r="HN990" s="110"/>
      <c r="HO990" s="109"/>
      <c r="HP990" s="111"/>
      <c r="HQ990" s="109"/>
      <c r="HR990" s="109"/>
      <c r="HS990" s="110"/>
      <c r="HT990" s="109"/>
      <c r="HU990" s="111"/>
      <c r="HV990" s="109"/>
      <c r="HW990" s="109"/>
      <c r="HX990" s="110"/>
      <c r="HY990" s="109"/>
      <c r="HZ990" s="111"/>
      <c r="IA990" s="109"/>
      <c r="IB990" s="109"/>
      <c r="IC990" s="110"/>
      <c r="ID990" s="109"/>
      <c r="IE990" s="111"/>
      <c r="IF990" s="109"/>
      <c r="IG990" s="109"/>
      <c r="IH990" s="110"/>
      <c r="II990" s="109"/>
      <c r="IJ990" s="111"/>
      <c r="IK990" s="109"/>
      <c r="IL990" s="109"/>
      <c r="IM990" s="110"/>
      <c r="IN990" s="109"/>
      <c r="IO990" s="111"/>
      <c r="IP990" s="109"/>
      <c r="IQ990" s="109"/>
      <c r="IR990" s="110"/>
      <c r="IS990" s="109"/>
      <c r="IT990" s="111"/>
      <c r="IU990" s="109"/>
      <c r="IV990" s="109"/>
    </row>
    <row r="991" spans="1:256" s="123" customFormat="1" ht="14.25">
      <c r="A991" s="134">
        <v>37291</v>
      </c>
      <c r="B991" s="111">
        <v>39.4541</v>
      </c>
      <c r="C991" s="111">
        <f t="shared" si="16"/>
        <v>0.0394541</v>
      </c>
      <c r="D991" s="111">
        <v>23.0409</v>
      </c>
      <c r="E991" s="111">
        <v>26.6924</v>
      </c>
      <c r="F991" s="132"/>
      <c r="G991"/>
      <c r="H991" s="109" t="s">
        <v>734</v>
      </c>
      <c r="I991" s="111"/>
      <c r="J991" s="109"/>
      <c r="K991" s="109"/>
      <c r="L991" s="110"/>
      <c r="M991" s="109"/>
      <c r="N991" s="111"/>
      <c r="O991" s="109"/>
      <c r="P991" s="109"/>
      <c r="Q991" s="110"/>
      <c r="R991" s="109"/>
      <c r="S991" s="111"/>
      <c r="T991" s="109"/>
      <c r="U991" s="109"/>
      <c r="V991" s="110"/>
      <c r="W991" s="109"/>
      <c r="X991" s="111"/>
      <c r="Y991" s="109"/>
      <c r="Z991" s="109"/>
      <c r="AA991" s="110"/>
      <c r="AB991" s="109"/>
      <c r="AC991" s="111"/>
      <c r="AD991" s="109"/>
      <c r="AE991" s="109"/>
      <c r="AF991" s="110"/>
      <c r="AG991" s="109"/>
      <c r="AH991" s="111"/>
      <c r="AI991" s="109"/>
      <c r="AJ991" s="109"/>
      <c r="AK991" s="110"/>
      <c r="AL991" s="109"/>
      <c r="AM991" s="111"/>
      <c r="AN991" s="109"/>
      <c r="AO991" s="109"/>
      <c r="AP991" s="110"/>
      <c r="AQ991" s="109"/>
      <c r="AR991" s="111"/>
      <c r="AS991" s="109"/>
      <c r="AT991" s="109"/>
      <c r="AU991" s="110"/>
      <c r="AV991" s="109"/>
      <c r="AW991" s="111"/>
      <c r="AX991" s="109"/>
      <c r="AY991" s="109"/>
      <c r="AZ991" s="110"/>
      <c r="BA991" s="109"/>
      <c r="BB991" s="111"/>
      <c r="BC991" s="109"/>
      <c r="BD991" s="109"/>
      <c r="BE991" s="110"/>
      <c r="BF991" s="109"/>
      <c r="BG991" s="111"/>
      <c r="BH991" s="109"/>
      <c r="BI991" s="109"/>
      <c r="BJ991" s="110"/>
      <c r="BK991" s="109"/>
      <c r="BL991" s="111"/>
      <c r="BM991" s="109"/>
      <c r="BN991" s="109"/>
      <c r="BO991" s="110"/>
      <c r="BP991" s="109"/>
      <c r="BQ991" s="111"/>
      <c r="BR991" s="109"/>
      <c r="BS991" s="109"/>
      <c r="BT991" s="110"/>
      <c r="BU991" s="109"/>
      <c r="BV991" s="111"/>
      <c r="BW991" s="109"/>
      <c r="BX991" s="109"/>
      <c r="BY991" s="110"/>
      <c r="BZ991" s="109"/>
      <c r="CA991" s="111"/>
      <c r="CB991" s="109"/>
      <c r="CC991" s="109"/>
      <c r="CD991" s="110"/>
      <c r="CE991" s="109"/>
      <c r="CF991" s="111"/>
      <c r="CG991" s="109"/>
      <c r="CH991" s="109"/>
      <c r="CI991" s="110"/>
      <c r="CJ991" s="109"/>
      <c r="CK991" s="111"/>
      <c r="CL991" s="109"/>
      <c r="CM991" s="109"/>
      <c r="CN991" s="110"/>
      <c r="CO991" s="109"/>
      <c r="CP991" s="111"/>
      <c r="CQ991" s="109"/>
      <c r="CR991" s="109"/>
      <c r="CS991" s="110"/>
      <c r="CT991" s="109"/>
      <c r="CU991" s="111"/>
      <c r="CV991" s="109"/>
      <c r="CW991" s="109"/>
      <c r="CX991" s="110"/>
      <c r="CY991" s="109"/>
      <c r="CZ991" s="111"/>
      <c r="DA991" s="109"/>
      <c r="DB991" s="109"/>
      <c r="DC991" s="110"/>
      <c r="DD991" s="109"/>
      <c r="DE991" s="111"/>
      <c r="DF991" s="109"/>
      <c r="DG991" s="109"/>
      <c r="DH991" s="110"/>
      <c r="DI991" s="109"/>
      <c r="DJ991" s="111"/>
      <c r="DK991" s="109"/>
      <c r="DL991" s="109"/>
      <c r="DM991" s="110"/>
      <c r="DN991" s="109"/>
      <c r="DO991" s="111"/>
      <c r="DP991" s="109"/>
      <c r="DQ991" s="109"/>
      <c r="DR991" s="110"/>
      <c r="DS991" s="109"/>
      <c r="DT991" s="111"/>
      <c r="DU991" s="109"/>
      <c r="DV991" s="109"/>
      <c r="DW991" s="110"/>
      <c r="DX991" s="109"/>
      <c r="DY991" s="111"/>
      <c r="DZ991" s="109"/>
      <c r="EA991" s="109"/>
      <c r="EB991" s="110"/>
      <c r="EC991" s="109"/>
      <c r="ED991" s="111"/>
      <c r="EE991" s="109"/>
      <c r="EF991" s="109"/>
      <c r="EG991" s="110"/>
      <c r="EH991" s="109"/>
      <c r="EI991" s="111"/>
      <c r="EJ991" s="109"/>
      <c r="EK991" s="109"/>
      <c r="EL991" s="110"/>
      <c r="EM991" s="109"/>
      <c r="EN991" s="111"/>
      <c r="EO991" s="109"/>
      <c r="EP991" s="109"/>
      <c r="EQ991" s="110"/>
      <c r="ER991" s="109"/>
      <c r="ES991" s="111"/>
      <c r="ET991" s="109"/>
      <c r="EU991" s="109"/>
      <c r="EV991" s="110"/>
      <c r="EW991" s="109"/>
      <c r="EX991" s="111"/>
      <c r="EY991" s="109"/>
      <c r="EZ991" s="109"/>
      <c r="FA991" s="110"/>
      <c r="FB991" s="109"/>
      <c r="FC991" s="111"/>
      <c r="FD991" s="109"/>
      <c r="FE991" s="109"/>
      <c r="FF991" s="110"/>
      <c r="FG991" s="109"/>
      <c r="FH991" s="111"/>
      <c r="FI991" s="109"/>
      <c r="FJ991" s="109"/>
      <c r="FK991" s="110"/>
      <c r="FL991" s="109"/>
      <c r="FM991" s="111"/>
      <c r="FN991" s="109"/>
      <c r="FO991" s="109"/>
      <c r="FP991" s="110"/>
      <c r="FQ991" s="109"/>
      <c r="FR991" s="111"/>
      <c r="FS991" s="109"/>
      <c r="FT991" s="109"/>
      <c r="FU991" s="110"/>
      <c r="FV991" s="109"/>
      <c r="FW991" s="111"/>
      <c r="FX991" s="109"/>
      <c r="FY991" s="109"/>
      <c r="FZ991" s="110"/>
      <c r="GA991" s="109"/>
      <c r="GB991" s="111"/>
      <c r="GC991" s="109"/>
      <c r="GD991" s="109"/>
      <c r="GE991" s="110"/>
      <c r="GF991" s="109"/>
      <c r="GG991" s="111"/>
      <c r="GH991" s="109"/>
      <c r="GI991" s="109"/>
      <c r="GJ991" s="110"/>
      <c r="GK991" s="109"/>
      <c r="GL991" s="111"/>
      <c r="GM991" s="109"/>
      <c r="GN991" s="109"/>
      <c r="GO991" s="110"/>
      <c r="GP991" s="109"/>
      <c r="GQ991" s="111"/>
      <c r="GR991" s="109"/>
      <c r="GS991" s="109"/>
      <c r="GT991" s="110"/>
      <c r="GU991" s="109"/>
      <c r="GV991" s="111"/>
      <c r="GW991" s="109"/>
      <c r="GX991" s="109"/>
      <c r="GY991" s="110"/>
      <c r="GZ991" s="109"/>
      <c r="HA991" s="111"/>
      <c r="HB991" s="109"/>
      <c r="HC991" s="109"/>
      <c r="HD991" s="110"/>
      <c r="HE991" s="109"/>
      <c r="HF991" s="111"/>
      <c r="HG991" s="109"/>
      <c r="HH991" s="109"/>
      <c r="HI991" s="110"/>
      <c r="HJ991" s="109"/>
      <c r="HK991" s="111"/>
      <c r="HL991" s="109"/>
      <c r="HM991" s="109"/>
      <c r="HN991" s="110"/>
      <c r="HO991" s="109"/>
      <c r="HP991" s="111"/>
      <c r="HQ991" s="109"/>
      <c r="HR991" s="109"/>
      <c r="HS991" s="110"/>
      <c r="HT991" s="109"/>
      <c r="HU991" s="111"/>
      <c r="HV991" s="109"/>
      <c r="HW991" s="109"/>
      <c r="HX991" s="110"/>
      <c r="HY991" s="109"/>
      <c r="HZ991" s="111"/>
      <c r="IA991" s="109"/>
      <c r="IB991" s="109"/>
      <c r="IC991" s="110"/>
      <c r="ID991" s="109"/>
      <c r="IE991" s="111"/>
      <c r="IF991" s="109"/>
      <c r="IG991" s="109"/>
      <c r="IH991" s="110"/>
      <c r="II991" s="109"/>
      <c r="IJ991" s="111"/>
      <c r="IK991" s="109"/>
      <c r="IL991" s="109"/>
      <c r="IM991" s="110"/>
      <c r="IN991" s="109"/>
      <c r="IO991" s="111"/>
      <c r="IP991" s="109"/>
      <c r="IQ991" s="109"/>
      <c r="IR991" s="110"/>
      <c r="IS991" s="109"/>
      <c r="IT991" s="111"/>
      <c r="IU991" s="109"/>
      <c r="IV991" s="109"/>
    </row>
    <row r="992" spans="1:256" s="123" customFormat="1" ht="14.25">
      <c r="A992" s="134">
        <v>37292</v>
      </c>
      <c r="B992" s="111">
        <v>38.9507</v>
      </c>
      <c r="C992" s="111">
        <f t="shared" si="16"/>
        <v>0.0389507</v>
      </c>
      <c r="D992" s="111">
        <v>22.7416</v>
      </c>
      <c r="E992" s="111">
        <v>26.3091</v>
      </c>
      <c r="F992" s="132"/>
      <c r="G992"/>
      <c r="H992" s="109" t="s">
        <v>735</v>
      </c>
      <c r="I992" s="111"/>
      <c r="J992" s="109"/>
      <c r="K992" s="109"/>
      <c r="L992" s="110"/>
      <c r="M992" s="109"/>
      <c r="N992" s="111"/>
      <c r="O992" s="109"/>
      <c r="P992" s="109"/>
      <c r="Q992" s="110"/>
      <c r="R992" s="109"/>
      <c r="S992" s="111"/>
      <c r="T992" s="109"/>
      <c r="U992" s="109"/>
      <c r="V992" s="110"/>
      <c r="W992" s="109"/>
      <c r="X992" s="111"/>
      <c r="Y992" s="109"/>
      <c r="Z992" s="109"/>
      <c r="AA992" s="110"/>
      <c r="AB992" s="109"/>
      <c r="AC992" s="111"/>
      <c r="AD992" s="109"/>
      <c r="AE992" s="109"/>
      <c r="AF992" s="110"/>
      <c r="AG992" s="109"/>
      <c r="AH992" s="111"/>
      <c r="AI992" s="109"/>
      <c r="AJ992" s="109"/>
      <c r="AK992" s="110"/>
      <c r="AL992" s="109"/>
      <c r="AM992" s="111"/>
      <c r="AN992" s="109"/>
      <c r="AO992" s="109"/>
      <c r="AP992" s="110"/>
      <c r="AQ992" s="109"/>
      <c r="AR992" s="111"/>
      <c r="AS992" s="109"/>
      <c r="AT992" s="109"/>
      <c r="AU992" s="110"/>
      <c r="AV992" s="109"/>
      <c r="AW992" s="111"/>
      <c r="AX992" s="109"/>
      <c r="AY992" s="109"/>
      <c r="AZ992" s="110"/>
      <c r="BA992" s="109"/>
      <c r="BB992" s="111"/>
      <c r="BC992" s="109"/>
      <c r="BD992" s="109"/>
      <c r="BE992" s="110"/>
      <c r="BF992" s="109"/>
      <c r="BG992" s="111"/>
      <c r="BH992" s="109"/>
      <c r="BI992" s="109"/>
      <c r="BJ992" s="110"/>
      <c r="BK992" s="109"/>
      <c r="BL992" s="111"/>
      <c r="BM992" s="109"/>
      <c r="BN992" s="109"/>
      <c r="BO992" s="110"/>
      <c r="BP992" s="109"/>
      <c r="BQ992" s="111"/>
      <c r="BR992" s="109"/>
      <c r="BS992" s="109"/>
      <c r="BT992" s="110"/>
      <c r="BU992" s="109"/>
      <c r="BV992" s="111"/>
      <c r="BW992" s="109"/>
      <c r="BX992" s="109"/>
      <c r="BY992" s="110"/>
      <c r="BZ992" s="109"/>
      <c r="CA992" s="111"/>
      <c r="CB992" s="109"/>
      <c r="CC992" s="109"/>
      <c r="CD992" s="110"/>
      <c r="CE992" s="109"/>
      <c r="CF992" s="111"/>
      <c r="CG992" s="109"/>
      <c r="CH992" s="109"/>
      <c r="CI992" s="110"/>
      <c r="CJ992" s="109"/>
      <c r="CK992" s="111"/>
      <c r="CL992" s="109"/>
      <c r="CM992" s="109"/>
      <c r="CN992" s="110"/>
      <c r="CO992" s="109"/>
      <c r="CP992" s="111"/>
      <c r="CQ992" s="109"/>
      <c r="CR992" s="109"/>
      <c r="CS992" s="110"/>
      <c r="CT992" s="109"/>
      <c r="CU992" s="111"/>
      <c r="CV992" s="109"/>
      <c r="CW992" s="109"/>
      <c r="CX992" s="110"/>
      <c r="CY992" s="109"/>
      <c r="CZ992" s="111"/>
      <c r="DA992" s="109"/>
      <c r="DB992" s="109"/>
      <c r="DC992" s="110"/>
      <c r="DD992" s="109"/>
      <c r="DE992" s="111"/>
      <c r="DF992" s="109"/>
      <c r="DG992" s="109"/>
      <c r="DH992" s="110"/>
      <c r="DI992" s="109"/>
      <c r="DJ992" s="111"/>
      <c r="DK992" s="109"/>
      <c r="DL992" s="109"/>
      <c r="DM992" s="110"/>
      <c r="DN992" s="109"/>
      <c r="DO992" s="111"/>
      <c r="DP992" s="109"/>
      <c r="DQ992" s="109"/>
      <c r="DR992" s="110"/>
      <c r="DS992" s="109"/>
      <c r="DT992" s="111"/>
      <c r="DU992" s="109"/>
      <c r="DV992" s="109"/>
      <c r="DW992" s="110"/>
      <c r="DX992" s="109"/>
      <c r="DY992" s="111"/>
      <c r="DZ992" s="109"/>
      <c r="EA992" s="109"/>
      <c r="EB992" s="110"/>
      <c r="EC992" s="109"/>
      <c r="ED992" s="111"/>
      <c r="EE992" s="109"/>
      <c r="EF992" s="109"/>
      <c r="EG992" s="110"/>
      <c r="EH992" s="109"/>
      <c r="EI992" s="111"/>
      <c r="EJ992" s="109"/>
      <c r="EK992" s="109"/>
      <c r="EL992" s="110"/>
      <c r="EM992" s="109"/>
      <c r="EN992" s="111"/>
      <c r="EO992" s="109"/>
      <c r="EP992" s="109"/>
      <c r="EQ992" s="110"/>
      <c r="ER992" s="109"/>
      <c r="ES992" s="111"/>
      <c r="ET992" s="109"/>
      <c r="EU992" s="109"/>
      <c r="EV992" s="110"/>
      <c r="EW992" s="109"/>
      <c r="EX992" s="111"/>
      <c r="EY992" s="109"/>
      <c r="EZ992" s="109"/>
      <c r="FA992" s="110"/>
      <c r="FB992" s="109"/>
      <c r="FC992" s="111"/>
      <c r="FD992" s="109"/>
      <c r="FE992" s="109"/>
      <c r="FF992" s="110"/>
      <c r="FG992" s="109"/>
      <c r="FH992" s="111"/>
      <c r="FI992" s="109"/>
      <c r="FJ992" s="109"/>
      <c r="FK992" s="110"/>
      <c r="FL992" s="109"/>
      <c r="FM992" s="111"/>
      <c r="FN992" s="109"/>
      <c r="FO992" s="109"/>
      <c r="FP992" s="110"/>
      <c r="FQ992" s="109"/>
      <c r="FR992" s="111"/>
      <c r="FS992" s="109"/>
      <c r="FT992" s="109"/>
      <c r="FU992" s="110"/>
      <c r="FV992" s="109"/>
      <c r="FW992" s="111"/>
      <c r="FX992" s="109"/>
      <c r="FY992" s="109"/>
      <c r="FZ992" s="110"/>
      <c r="GA992" s="109"/>
      <c r="GB992" s="111"/>
      <c r="GC992" s="109"/>
      <c r="GD992" s="109"/>
      <c r="GE992" s="110"/>
      <c r="GF992" s="109"/>
      <c r="GG992" s="111"/>
      <c r="GH992" s="109"/>
      <c r="GI992" s="109"/>
      <c r="GJ992" s="110"/>
      <c r="GK992" s="109"/>
      <c r="GL992" s="111"/>
      <c r="GM992" s="109"/>
      <c r="GN992" s="109"/>
      <c r="GO992" s="110"/>
      <c r="GP992" s="109"/>
      <c r="GQ992" s="111"/>
      <c r="GR992" s="109"/>
      <c r="GS992" s="109"/>
      <c r="GT992" s="110"/>
      <c r="GU992" s="109"/>
      <c r="GV992" s="111"/>
      <c r="GW992" s="109"/>
      <c r="GX992" s="109"/>
      <c r="GY992" s="110"/>
      <c r="GZ992" s="109"/>
      <c r="HA992" s="111"/>
      <c r="HB992" s="109"/>
      <c r="HC992" s="109"/>
      <c r="HD992" s="110"/>
      <c r="HE992" s="109"/>
      <c r="HF992" s="111"/>
      <c r="HG992" s="109"/>
      <c r="HH992" s="109"/>
      <c r="HI992" s="110"/>
      <c r="HJ992" s="109"/>
      <c r="HK992" s="111"/>
      <c r="HL992" s="109"/>
      <c r="HM992" s="109"/>
      <c r="HN992" s="110"/>
      <c r="HO992" s="109"/>
      <c r="HP992" s="111"/>
      <c r="HQ992" s="109"/>
      <c r="HR992" s="109"/>
      <c r="HS992" s="110"/>
      <c r="HT992" s="109"/>
      <c r="HU992" s="111"/>
      <c r="HV992" s="109"/>
      <c r="HW992" s="109"/>
      <c r="HX992" s="110"/>
      <c r="HY992" s="109"/>
      <c r="HZ992" s="111"/>
      <c r="IA992" s="109"/>
      <c r="IB992" s="109"/>
      <c r="IC992" s="110"/>
      <c r="ID992" s="109"/>
      <c r="IE992" s="111"/>
      <c r="IF992" s="109"/>
      <c r="IG992" s="109"/>
      <c r="IH992" s="110"/>
      <c r="II992" s="109"/>
      <c r="IJ992" s="111"/>
      <c r="IK992" s="109"/>
      <c r="IL992" s="109"/>
      <c r="IM992" s="110"/>
      <c r="IN992" s="109"/>
      <c r="IO992" s="111"/>
      <c r="IP992" s="109"/>
      <c r="IQ992" s="109"/>
      <c r="IR992" s="110"/>
      <c r="IS992" s="109"/>
      <c r="IT992" s="111"/>
      <c r="IU992" s="109"/>
      <c r="IV992" s="109"/>
    </row>
    <row r="993" spans="1:256" s="123" customFormat="1" ht="14.25">
      <c r="A993" s="134">
        <v>37293</v>
      </c>
      <c r="B993" s="111">
        <v>38.85</v>
      </c>
      <c r="C993" s="111">
        <f t="shared" si="16"/>
        <v>0.03885</v>
      </c>
      <c r="D993" s="111">
        <v>22.8686</v>
      </c>
      <c r="E993" s="111">
        <v>26.3372</v>
      </c>
      <c r="F993" s="132"/>
      <c r="G993"/>
      <c r="H993" s="109" t="s">
        <v>736</v>
      </c>
      <c r="I993" s="111"/>
      <c r="J993" s="109"/>
      <c r="K993" s="109"/>
      <c r="L993" s="110"/>
      <c r="M993" s="109"/>
      <c r="N993" s="111"/>
      <c r="O993" s="109"/>
      <c r="P993" s="109"/>
      <c r="Q993" s="110"/>
      <c r="R993" s="109"/>
      <c r="S993" s="111"/>
      <c r="T993" s="109"/>
      <c r="U993" s="109"/>
      <c r="V993" s="110"/>
      <c r="W993" s="109"/>
      <c r="X993" s="111"/>
      <c r="Y993" s="109"/>
      <c r="Z993" s="109"/>
      <c r="AA993" s="110"/>
      <c r="AB993" s="109"/>
      <c r="AC993" s="111"/>
      <c r="AD993" s="109"/>
      <c r="AE993" s="109"/>
      <c r="AF993" s="110"/>
      <c r="AG993" s="109"/>
      <c r="AH993" s="111"/>
      <c r="AI993" s="109"/>
      <c r="AJ993" s="109"/>
      <c r="AK993" s="110"/>
      <c r="AL993" s="109"/>
      <c r="AM993" s="111"/>
      <c r="AN993" s="109"/>
      <c r="AO993" s="109"/>
      <c r="AP993" s="110"/>
      <c r="AQ993" s="109"/>
      <c r="AR993" s="111"/>
      <c r="AS993" s="109"/>
      <c r="AT993" s="109"/>
      <c r="AU993" s="110"/>
      <c r="AV993" s="109"/>
      <c r="AW993" s="111"/>
      <c r="AX993" s="109"/>
      <c r="AY993" s="109"/>
      <c r="AZ993" s="110"/>
      <c r="BA993" s="109"/>
      <c r="BB993" s="111"/>
      <c r="BC993" s="109"/>
      <c r="BD993" s="109"/>
      <c r="BE993" s="110"/>
      <c r="BF993" s="109"/>
      <c r="BG993" s="111"/>
      <c r="BH993" s="109"/>
      <c r="BI993" s="109"/>
      <c r="BJ993" s="110"/>
      <c r="BK993" s="109"/>
      <c r="BL993" s="111"/>
      <c r="BM993" s="109"/>
      <c r="BN993" s="109"/>
      <c r="BO993" s="110"/>
      <c r="BP993" s="109"/>
      <c r="BQ993" s="111"/>
      <c r="BR993" s="109"/>
      <c r="BS993" s="109"/>
      <c r="BT993" s="110"/>
      <c r="BU993" s="109"/>
      <c r="BV993" s="111"/>
      <c r="BW993" s="109"/>
      <c r="BX993" s="109"/>
      <c r="BY993" s="110"/>
      <c r="BZ993" s="109"/>
      <c r="CA993" s="111"/>
      <c r="CB993" s="109"/>
      <c r="CC993" s="109"/>
      <c r="CD993" s="110"/>
      <c r="CE993" s="109"/>
      <c r="CF993" s="111"/>
      <c r="CG993" s="109"/>
      <c r="CH993" s="109"/>
      <c r="CI993" s="110"/>
      <c r="CJ993" s="109"/>
      <c r="CK993" s="111"/>
      <c r="CL993" s="109"/>
      <c r="CM993" s="109"/>
      <c r="CN993" s="110"/>
      <c r="CO993" s="109"/>
      <c r="CP993" s="111"/>
      <c r="CQ993" s="109"/>
      <c r="CR993" s="109"/>
      <c r="CS993" s="110"/>
      <c r="CT993" s="109"/>
      <c r="CU993" s="111"/>
      <c r="CV993" s="109"/>
      <c r="CW993" s="109"/>
      <c r="CX993" s="110"/>
      <c r="CY993" s="109"/>
      <c r="CZ993" s="111"/>
      <c r="DA993" s="109"/>
      <c r="DB993" s="109"/>
      <c r="DC993" s="110"/>
      <c r="DD993" s="109"/>
      <c r="DE993" s="111"/>
      <c r="DF993" s="109"/>
      <c r="DG993" s="109"/>
      <c r="DH993" s="110"/>
      <c r="DI993" s="109"/>
      <c r="DJ993" s="111"/>
      <c r="DK993" s="109"/>
      <c r="DL993" s="109"/>
      <c r="DM993" s="110"/>
      <c r="DN993" s="109"/>
      <c r="DO993" s="111"/>
      <c r="DP993" s="109"/>
      <c r="DQ993" s="109"/>
      <c r="DR993" s="110"/>
      <c r="DS993" s="109"/>
      <c r="DT993" s="111"/>
      <c r="DU993" s="109"/>
      <c r="DV993" s="109"/>
      <c r="DW993" s="110"/>
      <c r="DX993" s="109"/>
      <c r="DY993" s="111"/>
      <c r="DZ993" s="109"/>
      <c r="EA993" s="109"/>
      <c r="EB993" s="110"/>
      <c r="EC993" s="109"/>
      <c r="ED993" s="111"/>
      <c r="EE993" s="109"/>
      <c r="EF993" s="109"/>
      <c r="EG993" s="110"/>
      <c r="EH993" s="109"/>
      <c r="EI993" s="111"/>
      <c r="EJ993" s="109"/>
      <c r="EK993" s="109"/>
      <c r="EL993" s="110"/>
      <c r="EM993" s="109"/>
      <c r="EN993" s="111"/>
      <c r="EO993" s="109"/>
      <c r="EP993" s="109"/>
      <c r="EQ993" s="110"/>
      <c r="ER993" s="109"/>
      <c r="ES993" s="111"/>
      <c r="ET993" s="109"/>
      <c r="EU993" s="109"/>
      <c r="EV993" s="110"/>
      <c r="EW993" s="109"/>
      <c r="EX993" s="111"/>
      <c r="EY993" s="109"/>
      <c r="EZ993" s="109"/>
      <c r="FA993" s="110"/>
      <c r="FB993" s="109"/>
      <c r="FC993" s="111"/>
      <c r="FD993" s="109"/>
      <c r="FE993" s="109"/>
      <c r="FF993" s="110"/>
      <c r="FG993" s="109"/>
      <c r="FH993" s="111"/>
      <c r="FI993" s="109"/>
      <c r="FJ993" s="109"/>
      <c r="FK993" s="110"/>
      <c r="FL993" s="109"/>
      <c r="FM993" s="111"/>
      <c r="FN993" s="109"/>
      <c r="FO993" s="109"/>
      <c r="FP993" s="110"/>
      <c r="FQ993" s="109"/>
      <c r="FR993" s="111"/>
      <c r="FS993" s="109"/>
      <c r="FT993" s="109"/>
      <c r="FU993" s="110"/>
      <c r="FV993" s="109"/>
      <c r="FW993" s="111"/>
      <c r="FX993" s="109"/>
      <c r="FY993" s="109"/>
      <c r="FZ993" s="110"/>
      <c r="GA993" s="109"/>
      <c r="GB993" s="111"/>
      <c r="GC993" s="109"/>
      <c r="GD993" s="109"/>
      <c r="GE993" s="110"/>
      <c r="GF993" s="109"/>
      <c r="GG993" s="111"/>
      <c r="GH993" s="109"/>
      <c r="GI993" s="109"/>
      <c r="GJ993" s="110"/>
      <c r="GK993" s="109"/>
      <c r="GL993" s="111"/>
      <c r="GM993" s="109"/>
      <c r="GN993" s="109"/>
      <c r="GO993" s="110"/>
      <c r="GP993" s="109"/>
      <c r="GQ993" s="111"/>
      <c r="GR993" s="109"/>
      <c r="GS993" s="109"/>
      <c r="GT993" s="110"/>
      <c r="GU993" s="109"/>
      <c r="GV993" s="111"/>
      <c r="GW993" s="109"/>
      <c r="GX993" s="109"/>
      <c r="GY993" s="110"/>
      <c r="GZ993" s="109"/>
      <c r="HA993" s="111"/>
      <c r="HB993" s="109"/>
      <c r="HC993" s="109"/>
      <c r="HD993" s="110"/>
      <c r="HE993" s="109"/>
      <c r="HF993" s="111"/>
      <c r="HG993" s="109"/>
      <c r="HH993" s="109"/>
      <c r="HI993" s="110"/>
      <c r="HJ993" s="109"/>
      <c r="HK993" s="111"/>
      <c r="HL993" s="109"/>
      <c r="HM993" s="109"/>
      <c r="HN993" s="110"/>
      <c r="HO993" s="109"/>
      <c r="HP993" s="111"/>
      <c r="HQ993" s="109"/>
      <c r="HR993" s="109"/>
      <c r="HS993" s="110"/>
      <c r="HT993" s="109"/>
      <c r="HU993" s="111"/>
      <c r="HV993" s="109"/>
      <c r="HW993" s="109"/>
      <c r="HX993" s="110"/>
      <c r="HY993" s="109"/>
      <c r="HZ993" s="111"/>
      <c r="IA993" s="109"/>
      <c r="IB993" s="109"/>
      <c r="IC993" s="110"/>
      <c r="ID993" s="109"/>
      <c r="IE993" s="111"/>
      <c r="IF993" s="109"/>
      <c r="IG993" s="109"/>
      <c r="IH993" s="110"/>
      <c r="II993" s="109"/>
      <c r="IJ993" s="111"/>
      <c r="IK993" s="109"/>
      <c r="IL993" s="109"/>
      <c r="IM993" s="110"/>
      <c r="IN993" s="109"/>
      <c r="IO993" s="111"/>
      <c r="IP993" s="109"/>
      <c r="IQ993" s="109"/>
      <c r="IR993" s="110"/>
      <c r="IS993" s="109"/>
      <c r="IT993" s="111"/>
      <c r="IU993" s="109"/>
      <c r="IV993" s="109"/>
    </row>
    <row r="994" spans="1:256" s="123" customFormat="1" ht="14.25">
      <c r="A994" s="134">
        <v>37294</v>
      </c>
      <c r="B994" s="111">
        <v>39.3462</v>
      </c>
      <c r="C994" s="111">
        <f t="shared" si="16"/>
        <v>0.039346200000000005</v>
      </c>
      <c r="D994" s="111">
        <v>23.1854</v>
      </c>
      <c r="E994" s="111">
        <v>26.7606</v>
      </c>
      <c r="F994" s="132"/>
      <c r="G994"/>
      <c r="H994" s="109" t="s">
        <v>737</v>
      </c>
      <c r="I994" s="111"/>
      <c r="J994" s="109"/>
      <c r="K994" s="109"/>
      <c r="L994" s="110"/>
      <c r="M994" s="109"/>
      <c r="N994" s="111"/>
      <c r="O994" s="109"/>
      <c r="P994" s="109"/>
      <c r="Q994" s="110"/>
      <c r="R994" s="109"/>
      <c r="S994" s="111"/>
      <c r="T994" s="109"/>
      <c r="U994" s="109"/>
      <c r="V994" s="110"/>
      <c r="W994" s="109"/>
      <c r="X994" s="111"/>
      <c r="Y994" s="109"/>
      <c r="Z994" s="109"/>
      <c r="AA994" s="110"/>
      <c r="AB994" s="109"/>
      <c r="AC994" s="111"/>
      <c r="AD994" s="109"/>
      <c r="AE994" s="109"/>
      <c r="AF994" s="110"/>
      <c r="AG994" s="109"/>
      <c r="AH994" s="111"/>
      <c r="AI994" s="109"/>
      <c r="AJ994" s="109"/>
      <c r="AK994" s="110"/>
      <c r="AL994" s="109"/>
      <c r="AM994" s="111"/>
      <c r="AN994" s="109"/>
      <c r="AO994" s="109"/>
      <c r="AP994" s="110"/>
      <c r="AQ994" s="109"/>
      <c r="AR994" s="111"/>
      <c r="AS994" s="109"/>
      <c r="AT994" s="109"/>
      <c r="AU994" s="110"/>
      <c r="AV994" s="109"/>
      <c r="AW994" s="111"/>
      <c r="AX994" s="109"/>
      <c r="AY994" s="109"/>
      <c r="AZ994" s="110"/>
      <c r="BA994" s="109"/>
      <c r="BB994" s="111"/>
      <c r="BC994" s="109"/>
      <c r="BD994" s="109"/>
      <c r="BE994" s="110"/>
      <c r="BF994" s="109"/>
      <c r="BG994" s="111"/>
      <c r="BH994" s="109"/>
      <c r="BI994" s="109"/>
      <c r="BJ994" s="110"/>
      <c r="BK994" s="109"/>
      <c r="BL994" s="111"/>
      <c r="BM994" s="109"/>
      <c r="BN994" s="109"/>
      <c r="BO994" s="110"/>
      <c r="BP994" s="109"/>
      <c r="BQ994" s="111"/>
      <c r="BR994" s="109"/>
      <c r="BS994" s="109"/>
      <c r="BT994" s="110"/>
      <c r="BU994" s="109"/>
      <c r="BV994" s="111"/>
      <c r="BW994" s="109"/>
      <c r="BX994" s="109"/>
      <c r="BY994" s="110"/>
      <c r="BZ994" s="109"/>
      <c r="CA994" s="111"/>
      <c r="CB994" s="109"/>
      <c r="CC994" s="109"/>
      <c r="CD994" s="110"/>
      <c r="CE994" s="109"/>
      <c r="CF994" s="111"/>
      <c r="CG994" s="109"/>
      <c r="CH994" s="109"/>
      <c r="CI994" s="110"/>
      <c r="CJ994" s="109"/>
      <c r="CK994" s="111"/>
      <c r="CL994" s="109"/>
      <c r="CM994" s="109"/>
      <c r="CN994" s="110"/>
      <c r="CO994" s="109"/>
      <c r="CP994" s="111"/>
      <c r="CQ994" s="109"/>
      <c r="CR994" s="109"/>
      <c r="CS994" s="110"/>
      <c r="CT994" s="109"/>
      <c r="CU994" s="111"/>
      <c r="CV994" s="109"/>
      <c r="CW994" s="109"/>
      <c r="CX994" s="110"/>
      <c r="CY994" s="109"/>
      <c r="CZ994" s="111"/>
      <c r="DA994" s="109"/>
      <c r="DB994" s="109"/>
      <c r="DC994" s="110"/>
      <c r="DD994" s="109"/>
      <c r="DE994" s="111"/>
      <c r="DF994" s="109"/>
      <c r="DG994" s="109"/>
      <c r="DH994" s="110"/>
      <c r="DI994" s="109"/>
      <c r="DJ994" s="111"/>
      <c r="DK994" s="109"/>
      <c r="DL994" s="109"/>
      <c r="DM994" s="110"/>
      <c r="DN994" s="109"/>
      <c r="DO994" s="111"/>
      <c r="DP994" s="109"/>
      <c r="DQ994" s="109"/>
      <c r="DR994" s="110"/>
      <c r="DS994" s="109"/>
      <c r="DT994" s="111"/>
      <c r="DU994" s="109"/>
      <c r="DV994" s="109"/>
      <c r="DW994" s="110"/>
      <c r="DX994" s="109"/>
      <c r="DY994" s="111"/>
      <c r="DZ994" s="109"/>
      <c r="EA994" s="109"/>
      <c r="EB994" s="110"/>
      <c r="EC994" s="109"/>
      <c r="ED994" s="111"/>
      <c r="EE994" s="109"/>
      <c r="EF994" s="109"/>
      <c r="EG994" s="110"/>
      <c r="EH994" s="109"/>
      <c r="EI994" s="111"/>
      <c r="EJ994" s="109"/>
      <c r="EK994" s="109"/>
      <c r="EL994" s="110"/>
      <c r="EM994" s="109"/>
      <c r="EN994" s="111"/>
      <c r="EO994" s="109"/>
      <c r="EP994" s="109"/>
      <c r="EQ994" s="110"/>
      <c r="ER994" s="109"/>
      <c r="ES994" s="111"/>
      <c r="ET994" s="109"/>
      <c r="EU994" s="109"/>
      <c r="EV994" s="110"/>
      <c r="EW994" s="109"/>
      <c r="EX994" s="111"/>
      <c r="EY994" s="109"/>
      <c r="EZ994" s="109"/>
      <c r="FA994" s="110"/>
      <c r="FB994" s="109"/>
      <c r="FC994" s="111"/>
      <c r="FD994" s="109"/>
      <c r="FE994" s="109"/>
      <c r="FF994" s="110"/>
      <c r="FG994" s="109"/>
      <c r="FH994" s="111"/>
      <c r="FI994" s="109"/>
      <c r="FJ994" s="109"/>
      <c r="FK994" s="110"/>
      <c r="FL994" s="109"/>
      <c r="FM994" s="111"/>
      <c r="FN994" s="109"/>
      <c r="FO994" s="109"/>
      <c r="FP994" s="110"/>
      <c r="FQ994" s="109"/>
      <c r="FR994" s="111"/>
      <c r="FS994" s="109"/>
      <c r="FT994" s="109"/>
      <c r="FU994" s="110"/>
      <c r="FV994" s="109"/>
      <c r="FW994" s="111"/>
      <c r="FX994" s="109"/>
      <c r="FY994" s="109"/>
      <c r="FZ994" s="110"/>
      <c r="GA994" s="109"/>
      <c r="GB994" s="111"/>
      <c r="GC994" s="109"/>
      <c r="GD994" s="109"/>
      <c r="GE994" s="110"/>
      <c r="GF994" s="109"/>
      <c r="GG994" s="111"/>
      <c r="GH994" s="109"/>
      <c r="GI994" s="109"/>
      <c r="GJ994" s="110"/>
      <c r="GK994" s="109"/>
      <c r="GL994" s="111"/>
      <c r="GM994" s="109"/>
      <c r="GN994" s="109"/>
      <c r="GO994" s="110"/>
      <c r="GP994" s="109"/>
      <c r="GQ994" s="111"/>
      <c r="GR994" s="109"/>
      <c r="GS994" s="109"/>
      <c r="GT994" s="110"/>
      <c r="GU994" s="109"/>
      <c r="GV994" s="111"/>
      <c r="GW994" s="109"/>
      <c r="GX994" s="109"/>
      <c r="GY994" s="110"/>
      <c r="GZ994" s="109"/>
      <c r="HA994" s="111"/>
      <c r="HB994" s="109"/>
      <c r="HC994" s="109"/>
      <c r="HD994" s="110"/>
      <c r="HE994" s="109"/>
      <c r="HF994" s="111"/>
      <c r="HG994" s="109"/>
      <c r="HH994" s="109"/>
      <c r="HI994" s="110"/>
      <c r="HJ994" s="109"/>
      <c r="HK994" s="111"/>
      <c r="HL994" s="109"/>
      <c r="HM994" s="109"/>
      <c r="HN994" s="110"/>
      <c r="HO994" s="109"/>
      <c r="HP994" s="111"/>
      <c r="HQ994" s="109"/>
      <c r="HR994" s="109"/>
      <c r="HS994" s="110"/>
      <c r="HT994" s="109"/>
      <c r="HU994" s="111"/>
      <c r="HV994" s="109"/>
      <c r="HW994" s="109"/>
      <c r="HX994" s="110"/>
      <c r="HY994" s="109"/>
      <c r="HZ994" s="111"/>
      <c r="IA994" s="109"/>
      <c r="IB994" s="109"/>
      <c r="IC994" s="110"/>
      <c r="ID994" s="109"/>
      <c r="IE994" s="111"/>
      <c r="IF994" s="109"/>
      <c r="IG994" s="109"/>
      <c r="IH994" s="110"/>
      <c r="II994" s="109"/>
      <c r="IJ994" s="111"/>
      <c r="IK994" s="109"/>
      <c r="IL994" s="109"/>
      <c r="IM994" s="110"/>
      <c r="IN994" s="109"/>
      <c r="IO994" s="111"/>
      <c r="IP994" s="109"/>
      <c r="IQ994" s="109"/>
      <c r="IR994" s="110"/>
      <c r="IS994" s="109"/>
      <c r="IT994" s="111"/>
      <c r="IU994" s="109"/>
      <c r="IV994" s="109"/>
    </row>
    <row r="995" spans="1:256" s="123" customFormat="1" ht="14.25">
      <c r="A995" s="134">
        <v>37295</v>
      </c>
      <c r="B995" s="111">
        <v>37.6707</v>
      </c>
      <c r="C995" s="111">
        <f t="shared" si="16"/>
        <v>0.037670699999999994</v>
      </c>
      <c r="D995" s="111">
        <v>22.1695</v>
      </c>
      <c r="E995" s="111">
        <v>25.588</v>
      </c>
      <c r="F995" s="132"/>
      <c r="G995"/>
      <c r="H995" s="109" t="s">
        <v>738</v>
      </c>
      <c r="I995" s="111"/>
      <c r="J995" s="109"/>
      <c r="K995" s="109"/>
      <c r="L995" s="110"/>
      <c r="M995" s="109"/>
      <c r="N995" s="111"/>
      <c r="O995" s="109"/>
      <c r="P995" s="109"/>
      <c r="Q995" s="110"/>
      <c r="R995" s="109"/>
      <c r="S995" s="111"/>
      <c r="T995" s="109"/>
      <c r="U995" s="109"/>
      <c r="V995" s="110"/>
      <c r="W995" s="109"/>
      <c r="X995" s="111"/>
      <c r="Y995" s="109"/>
      <c r="Z995" s="109"/>
      <c r="AA995" s="110"/>
      <c r="AB995" s="109"/>
      <c r="AC995" s="111"/>
      <c r="AD995" s="109"/>
      <c r="AE995" s="109"/>
      <c r="AF995" s="110"/>
      <c r="AG995" s="109"/>
      <c r="AH995" s="111"/>
      <c r="AI995" s="109"/>
      <c r="AJ995" s="109"/>
      <c r="AK995" s="110"/>
      <c r="AL995" s="109"/>
      <c r="AM995" s="111"/>
      <c r="AN995" s="109"/>
      <c r="AO995" s="109"/>
      <c r="AP995" s="110"/>
      <c r="AQ995" s="109"/>
      <c r="AR995" s="111"/>
      <c r="AS995" s="109"/>
      <c r="AT995" s="109"/>
      <c r="AU995" s="110"/>
      <c r="AV995" s="109"/>
      <c r="AW995" s="111"/>
      <c r="AX995" s="109"/>
      <c r="AY995" s="109"/>
      <c r="AZ995" s="110"/>
      <c r="BA995" s="109"/>
      <c r="BB995" s="111"/>
      <c r="BC995" s="109"/>
      <c r="BD995" s="109"/>
      <c r="BE995" s="110"/>
      <c r="BF995" s="109"/>
      <c r="BG995" s="111"/>
      <c r="BH995" s="109"/>
      <c r="BI995" s="109"/>
      <c r="BJ995" s="110"/>
      <c r="BK995" s="109"/>
      <c r="BL995" s="111"/>
      <c r="BM995" s="109"/>
      <c r="BN995" s="109"/>
      <c r="BO995" s="110"/>
      <c r="BP995" s="109"/>
      <c r="BQ995" s="111"/>
      <c r="BR995" s="109"/>
      <c r="BS995" s="109"/>
      <c r="BT995" s="110"/>
      <c r="BU995" s="109"/>
      <c r="BV995" s="111"/>
      <c r="BW995" s="109"/>
      <c r="BX995" s="109"/>
      <c r="BY995" s="110"/>
      <c r="BZ995" s="109"/>
      <c r="CA995" s="111"/>
      <c r="CB995" s="109"/>
      <c r="CC995" s="109"/>
      <c r="CD995" s="110"/>
      <c r="CE995" s="109"/>
      <c r="CF995" s="111"/>
      <c r="CG995" s="109"/>
      <c r="CH995" s="109"/>
      <c r="CI995" s="110"/>
      <c r="CJ995" s="109"/>
      <c r="CK995" s="111"/>
      <c r="CL995" s="109"/>
      <c r="CM995" s="109"/>
      <c r="CN995" s="110"/>
      <c r="CO995" s="109"/>
      <c r="CP995" s="111"/>
      <c r="CQ995" s="109"/>
      <c r="CR995" s="109"/>
      <c r="CS995" s="110"/>
      <c r="CT995" s="109"/>
      <c r="CU995" s="111"/>
      <c r="CV995" s="109"/>
      <c r="CW995" s="109"/>
      <c r="CX995" s="110"/>
      <c r="CY995" s="109"/>
      <c r="CZ995" s="111"/>
      <c r="DA995" s="109"/>
      <c r="DB995" s="109"/>
      <c r="DC995" s="110"/>
      <c r="DD995" s="109"/>
      <c r="DE995" s="111"/>
      <c r="DF995" s="109"/>
      <c r="DG995" s="109"/>
      <c r="DH995" s="110"/>
      <c r="DI995" s="109"/>
      <c r="DJ995" s="111"/>
      <c r="DK995" s="109"/>
      <c r="DL995" s="109"/>
      <c r="DM995" s="110"/>
      <c r="DN995" s="109"/>
      <c r="DO995" s="111"/>
      <c r="DP995" s="109"/>
      <c r="DQ995" s="109"/>
      <c r="DR995" s="110"/>
      <c r="DS995" s="109"/>
      <c r="DT995" s="111"/>
      <c r="DU995" s="109"/>
      <c r="DV995" s="109"/>
      <c r="DW995" s="110"/>
      <c r="DX995" s="109"/>
      <c r="DY995" s="111"/>
      <c r="DZ995" s="109"/>
      <c r="EA995" s="109"/>
      <c r="EB995" s="110"/>
      <c r="EC995" s="109"/>
      <c r="ED995" s="111"/>
      <c r="EE995" s="109"/>
      <c r="EF995" s="109"/>
      <c r="EG995" s="110"/>
      <c r="EH995" s="109"/>
      <c r="EI995" s="111"/>
      <c r="EJ995" s="109"/>
      <c r="EK995" s="109"/>
      <c r="EL995" s="110"/>
      <c r="EM995" s="109"/>
      <c r="EN995" s="111"/>
      <c r="EO995" s="109"/>
      <c r="EP995" s="109"/>
      <c r="EQ995" s="110"/>
      <c r="ER995" s="109"/>
      <c r="ES995" s="111"/>
      <c r="ET995" s="109"/>
      <c r="EU995" s="109"/>
      <c r="EV995" s="110"/>
      <c r="EW995" s="109"/>
      <c r="EX995" s="111"/>
      <c r="EY995" s="109"/>
      <c r="EZ995" s="109"/>
      <c r="FA995" s="110"/>
      <c r="FB995" s="109"/>
      <c r="FC995" s="111"/>
      <c r="FD995" s="109"/>
      <c r="FE995" s="109"/>
      <c r="FF995" s="110"/>
      <c r="FG995" s="109"/>
      <c r="FH995" s="111"/>
      <c r="FI995" s="109"/>
      <c r="FJ995" s="109"/>
      <c r="FK995" s="110"/>
      <c r="FL995" s="109"/>
      <c r="FM995" s="111"/>
      <c r="FN995" s="109"/>
      <c r="FO995" s="109"/>
      <c r="FP995" s="110"/>
      <c r="FQ995" s="109"/>
      <c r="FR995" s="111"/>
      <c r="FS995" s="109"/>
      <c r="FT995" s="109"/>
      <c r="FU995" s="110"/>
      <c r="FV995" s="109"/>
      <c r="FW995" s="111"/>
      <c r="FX995" s="109"/>
      <c r="FY995" s="109"/>
      <c r="FZ995" s="110"/>
      <c r="GA995" s="109"/>
      <c r="GB995" s="111"/>
      <c r="GC995" s="109"/>
      <c r="GD995" s="109"/>
      <c r="GE995" s="110"/>
      <c r="GF995" s="109"/>
      <c r="GG995" s="111"/>
      <c r="GH995" s="109"/>
      <c r="GI995" s="109"/>
      <c r="GJ995" s="110"/>
      <c r="GK995" s="109"/>
      <c r="GL995" s="111"/>
      <c r="GM995" s="109"/>
      <c r="GN995" s="109"/>
      <c r="GO995" s="110"/>
      <c r="GP995" s="109"/>
      <c r="GQ995" s="111"/>
      <c r="GR995" s="109"/>
      <c r="GS995" s="109"/>
      <c r="GT995" s="110"/>
      <c r="GU995" s="109"/>
      <c r="GV995" s="111"/>
      <c r="GW995" s="109"/>
      <c r="GX995" s="109"/>
      <c r="GY995" s="110"/>
      <c r="GZ995" s="109"/>
      <c r="HA995" s="111"/>
      <c r="HB995" s="109"/>
      <c r="HC995" s="109"/>
      <c r="HD995" s="110"/>
      <c r="HE995" s="109"/>
      <c r="HF995" s="111"/>
      <c r="HG995" s="109"/>
      <c r="HH995" s="109"/>
      <c r="HI995" s="110"/>
      <c r="HJ995" s="109"/>
      <c r="HK995" s="111"/>
      <c r="HL995" s="109"/>
      <c r="HM995" s="109"/>
      <c r="HN995" s="110"/>
      <c r="HO995" s="109"/>
      <c r="HP995" s="111"/>
      <c r="HQ995" s="109"/>
      <c r="HR995" s="109"/>
      <c r="HS995" s="110"/>
      <c r="HT995" s="109"/>
      <c r="HU995" s="111"/>
      <c r="HV995" s="109"/>
      <c r="HW995" s="109"/>
      <c r="HX995" s="110"/>
      <c r="HY995" s="109"/>
      <c r="HZ995" s="111"/>
      <c r="IA995" s="109"/>
      <c r="IB995" s="109"/>
      <c r="IC995" s="110"/>
      <c r="ID995" s="109"/>
      <c r="IE995" s="111"/>
      <c r="IF995" s="109"/>
      <c r="IG995" s="109"/>
      <c r="IH995" s="110"/>
      <c r="II995" s="109"/>
      <c r="IJ995" s="111"/>
      <c r="IK995" s="109"/>
      <c r="IL995" s="109"/>
      <c r="IM995" s="110"/>
      <c r="IN995" s="109"/>
      <c r="IO995" s="111"/>
      <c r="IP995" s="109"/>
      <c r="IQ995" s="109"/>
      <c r="IR995" s="110"/>
      <c r="IS995" s="109"/>
      <c r="IT995" s="111"/>
      <c r="IU995" s="109"/>
      <c r="IV995" s="109"/>
    </row>
    <row r="996" spans="1:9" s="123" customFormat="1" ht="14.25">
      <c r="A996" s="134">
        <v>37298</v>
      </c>
      <c r="B996" s="111">
        <v>35.6526</v>
      </c>
      <c r="C996" s="111">
        <f t="shared" si="16"/>
        <v>0.0356526</v>
      </c>
      <c r="D996" s="111">
        <v>21.1658</v>
      </c>
      <c r="E996" s="111">
        <v>24.2172</v>
      </c>
      <c r="F996" s="132"/>
      <c r="G996"/>
      <c r="H996" s="109"/>
      <c r="I996" s="111"/>
    </row>
    <row r="997" spans="1:9" s="123" customFormat="1" ht="14.25">
      <c r="A997" s="134">
        <v>37299</v>
      </c>
      <c r="B997" s="111">
        <v>33.5494</v>
      </c>
      <c r="C997" s="111">
        <f t="shared" si="16"/>
        <v>0.0335494</v>
      </c>
      <c r="D997" s="111">
        <v>19.9603</v>
      </c>
      <c r="E997" s="111">
        <v>22.6976</v>
      </c>
      <c r="F997" s="132"/>
      <c r="G997"/>
      <c r="H997" s="109"/>
      <c r="I997" s="111"/>
    </row>
    <row r="998" spans="1:9" s="123" customFormat="1" ht="14.25">
      <c r="A998" s="134">
        <v>37300</v>
      </c>
      <c r="B998" s="111">
        <v>35.1616</v>
      </c>
      <c r="C998" s="111">
        <f t="shared" si="16"/>
        <v>0.0351616</v>
      </c>
      <c r="D998" s="111">
        <v>20.8431</v>
      </c>
      <c r="E998" s="111">
        <v>23.8125</v>
      </c>
      <c r="F998" s="132"/>
      <c r="G998"/>
      <c r="H998" s="109" t="s">
        <v>739</v>
      </c>
      <c r="I998" s="111"/>
    </row>
    <row r="999" spans="1:8" s="123" customFormat="1" ht="14.25">
      <c r="A999" s="134">
        <v>37301</v>
      </c>
      <c r="B999" s="111">
        <v>44.3341</v>
      </c>
      <c r="C999" s="111">
        <f t="shared" si="16"/>
        <v>0.0443341</v>
      </c>
      <c r="D999" s="111">
        <v>26.1966</v>
      </c>
      <c r="E999" s="111">
        <v>30.0041</v>
      </c>
      <c r="F999" s="132"/>
      <c r="G999"/>
      <c r="H999" s="123" t="s">
        <v>740</v>
      </c>
    </row>
    <row r="1000" spans="1:8" s="123" customFormat="1" ht="14.25">
      <c r="A1000" s="134">
        <v>37302</v>
      </c>
      <c r="B1000" s="111">
        <v>36.6773</v>
      </c>
      <c r="C1000" s="111">
        <f t="shared" si="16"/>
        <v>0.0366773</v>
      </c>
      <c r="D1000" s="111">
        <v>21.5023</v>
      </c>
      <c r="E1000" s="111">
        <v>24.7352</v>
      </c>
      <c r="F1000" s="132"/>
      <c r="G1000"/>
      <c r="H1000" s="123" t="s">
        <v>741</v>
      </c>
    </row>
    <row r="1001" spans="1:9" ht="14.25">
      <c r="A1001" s="134">
        <v>37305</v>
      </c>
      <c r="B1001" s="111">
        <v>43.7363</v>
      </c>
      <c r="C1001" s="111">
        <f t="shared" si="16"/>
        <v>0.0437363</v>
      </c>
      <c r="D1001" s="111">
        <v>25.702</v>
      </c>
      <c r="E1001" s="111">
        <v>29.5256</v>
      </c>
      <c r="F1001" s="132"/>
      <c r="G1001"/>
      <c r="H1001" s="123" t="s">
        <v>742</v>
      </c>
      <c r="I1001" s="123"/>
    </row>
    <row r="1002" spans="1:9" ht="14.25">
      <c r="A1002" s="134">
        <v>37306</v>
      </c>
      <c r="B1002" s="111">
        <v>42.9583</v>
      </c>
      <c r="C1002" s="111">
        <f t="shared" si="16"/>
        <v>0.042958300000000005</v>
      </c>
      <c r="D1002" s="111">
        <v>25.2892</v>
      </c>
      <c r="E1002" s="111">
        <v>29.018</v>
      </c>
      <c r="F1002" s="132"/>
      <c r="G1002"/>
      <c r="H1002" s="123" t="s">
        <v>743</v>
      </c>
      <c r="I1002" s="123"/>
    </row>
    <row r="1003" spans="1:9" ht="14.25">
      <c r="A1003" s="134">
        <v>37307</v>
      </c>
      <c r="B1003" s="111">
        <v>42.5066</v>
      </c>
      <c r="C1003" s="111">
        <f t="shared" si="16"/>
        <v>0.0425066</v>
      </c>
      <c r="D1003" s="111">
        <v>24.9877</v>
      </c>
      <c r="E1003" s="111">
        <v>28.7479</v>
      </c>
      <c r="F1003" s="132"/>
      <c r="G1003"/>
      <c r="H1003" s="123" t="s">
        <v>744</v>
      </c>
      <c r="I1003" s="123"/>
    </row>
    <row r="1004" spans="1:8" ht="14.25">
      <c r="A1004" s="134">
        <v>37308</v>
      </c>
      <c r="B1004" s="111">
        <v>46.0491</v>
      </c>
      <c r="C1004" s="111">
        <f t="shared" si="16"/>
        <v>0.0460491</v>
      </c>
      <c r="D1004" s="111">
        <v>27.1811</v>
      </c>
      <c r="E1004" s="111">
        <v>31.089</v>
      </c>
      <c r="F1004" s="132"/>
      <c r="G1004"/>
      <c r="H1004" s="109" t="s">
        <v>745</v>
      </c>
    </row>
    <row r="1005" spans="1:8" ht="14.25">
      <c r="A1005" s="134">
        <v>37309</v>
      </c>
      <c r="B1005" s="111">
        <v>43.3868</v>
      </c>
      <c r="C1005" s="111">
        <f t="shared" si="16"/>
        <v>0.0433868</v>
      </c>
      <c r="D1005" s="111">
        <v>25.5194</v>
      </c>
      <c r="E1005" s="111">
        <v>29.3292</v>
      </c>
      <c r="F1005" s="132"/>
      <c r="G1005"/>
      <c r="H1005" s="109" t="s">
        <v>746</v>
      </c>
    </row>
    <row r="1006" spans="1:8" ht="14.25">
      <c r="A1006" s="134">
        <v>37312</v>
      </c>
      <c r="B1006" s="111">
        <v>43.4962</v>
      </c>
      <c r="C1006" s="111">
        <f t="shared" si="16"/>
        <v>0.043496200000000006</v>
      </c>
      <c r="D1006" s="111">
        <v>25.7138</v>
      </c>
      <c r="E1006" s="111">
        <v>29.3973</v>
      </c>
      <c r="F1006" s="132"/>
      <c r="G1006"/>
      <c r="H1006" s="109" t="s">
        <v>747</v>
      </c>
    </row>
    <row r="1007" spans="1:8" ht="14.25">
      <c r="A1007" s="134">
        <v>37313</v>
      </c>
      <c r="B1007" s="111">
        <v>41.6826</v>
      </c>
      <c r="C1007" s="111">
        <f t="shared" si="16"/>
        <v>0.0416826</v>
      </c>
      <c r="D1007" s="111">
        <v>24.6168</v>
      </c>
      <c r="E1007" s="111">
        <v>28.2173</v>
      </c>
      <c r="F1007" s="132"/>
      <c r="G1007"/>
      <c r="H1007" s="109" t="s">
        <v>748</v>
      </c>
    </row>
    <row r="1008" spans="1:8" ht="14.25">
      <c r="A1008" s="134">
        <v>37314</v>
      </c>
      <c r="B1008" s="111">
        <v>39.1083</v>
      </c>
      <c r="C1008" s="111">
        <f t="shared" si="16"/>
        <v>0.0391083</v>
      </c>
      <c r="D1008" s="111">
        <v>23.0024</v>
      </c>
      <c r="E1008" s="111">
        <v>26.4943</v>
      </c>
      <c r="F1008" s="132"/>
      <c r="G1008"/>
      <c r="H1008" s="109" t="s">
        <v>749</v>
      </c>
    </row>
    <row r="1009" spans="1:8" ht="14.25">
      <c r="A1009" s="134">
        <v>37315</v>
      </c>
      <c r="B1009" s="111">
        <v>39.5498</v>
      </c>
      <c r="C1009" s="111">
        <f t="shared" si="16"/>
        <v>0.039549799999999996</v>
      </c>
      <c r="D1009" s="111">
        <v>23.1643</v>
      </c>
      <c r="E1009" s="111">
        <v>26.7826</v>
      </c>
      <c r="F1009" s="132"/>
      <c r="G1009"/>
      <c r="H1009" s="109" t="s">
        <v>750</v>
      </c>
    </row>
    <row r="1010" spans="1:8" ht="14.25">
      <c r="A1010" s="134">
        <v>37316</v>
      </c>
      <c r="B1010" s="111">
        <v>34.8477</v>
      </c>
      <c r="C1010" s="111">
        <f t="shared" si="16"/>
        <v>0.0348477</v>
      </c>
      <c r="D1010" s="111">
        <v>20.426</v>
      </c>
      <c r="E1010" s="111">
        <v>23.6111</v>
      </c>
      <c r="F1010" s="132"/>
      <c r="G1010"/>
      <c r="H1010" s="109" t="s">
        <v>751</v>
      </c>
    </row>
    <row r="1011" spans="1:8" ht="14.25">
      <c r="A1011" s="134">
        <v>37319</v>
      </c>
      <c r="B1011" s="111">
        <v>35.963</v>
      </c>
      <c r="C1011" s="111">
        <f t="shared" si="16"/>
        <v>0.035963</v>
      </c>
      <c r="D1011" s="111">
        <v>21.148</v>
      </c>
      <c r="E1011" s="111">
        <v>24.3668</v>
      </c>
      <c r="F1011" s="132"/>
      <c r="G1011"/>
      <c r="H1011" s="109" t="s">
        <v>740</v>
      </c>
    </row>
    <row r="1012" spans="1:8" ht="14.25">
      <c r="A1012" s="134">
        <v>37320</v>
      </c>
      <c r="B1012" s="111">
        <v>41.9165</v>
      </c>
      <c r="C1012" s="111">
        <f t="shared" si="16"/>
        <v>0.0419165</v>
      </c>
      <c r="D1012" s="111">
        <v>24.5304</v>
      </c>
      <c r="E1012" s="111">
        <v>28.3622</v>
      </c>
      <c r="F1012" s="132"/>
      <c r="G1012"/>
      <c r="H1012" s="109" t="s">
        <v>752</v>
      </c>
    </row>
    <row r="1013" spans="1:7" ht="14.25">
      <c r="A1013" s="134">
        <v>37321</v>
      </c>
      <c r="B1013" s="111">
        <v>40.4788</v>
      </c>
      <c r="C1013" s="111">
        <f t="shared" si="16"/>
        <v>0.0404788</v>
      </c>
      <c r="D1013" s="111">
        <v>23.8004</v>
      </c>
      <c r="E1013" s="111">
        <v>27.4135</v>
      </c>
      <c r="F1013" s="132"/>
      <c r="G1013"/>
    </row>
    <row r="1014" spans="1:7" ht="14.25">
      <c r="A1014" s="134">
        <v>37322</v>
      </c>
      <c r="B1014" s="111">
        <v>34.6828</v>
      </c>
      <c r="C1014" s="111">
        <f t="shared" si="16"/>
        <v>0.0346828</v>
      </c>
      <c r="D1014" s="111">
        <v>20.4616</v>
      </c>
      <c r="E1014" s="111">
        <v>23.4867</v>
      </c>
      <c r="F1014" s="132"/>
      <c r="G1014"/>
    </row>
    <row r="1015" spans="1:9" ht="14.25">
      <c r="A1015" s="134">
        <v>37323</v>
      </c>
      <c r="B1015" s="111">
        <v>39.4148</v>
      </c>
      <c r="C1015" s="111">
        <f t="shared" si="16"/>
        <v>0.0394148</v>
      </c>
      <c r="D1015" s="111">
        <v>23.4684</v>
      </c>
      <c r="E1015" s="111">
        <v>26.7782</v>
      </c>
      <c r="F1015" s="132"/>
      <c r="G1015"/>
      <c r="H1015"/>
      <c r="I1015"/>
    </row>
    <row r="1016" spans="1:9" ht="14.25">
      <c r="A1016" s="134">
        <v>37326</v>
      </c>
      <c r="B1016" s="111">
        <v>38.5534</v>
      </c>
      <c r="C1016" s="111">
        <f t="shared" si="16"/>
        <v>0.0385534</v>
      </c>
      <c r="D1016" s="111">
        <v>23.0592</v>
      </c>
      <c r="E1016" s="111">
        <v>26.2125</v>
      </c>
      <c r="F1016" s="132"/>
      <c r="G1016"/>
      <c r="H1016"/>
      <c r="I1016"/>
    </row>
    <row r="1017" spans="1:11" ht="14.25">
      <c r="A1017" s="134">
        <v>37327</v>
      </c>
      <c r="B1017" s="111">
        <v>39.4175</v>
      </c>
      <c r="C1017" s="111">
        <f t="shared" si="16"/>
        <v>0.0394175</v>
      </c>
      <c r="D1017" s="129">
        <v>23.4132</v>
      </c>
      <c r="E1017" s="129">
        <v>26.7854</v>
      </c>
      <c r="F1017" s="132"/>
      <c r="G1017"/>
      <c r="H1017"/>
      <c r="I1017"/>
      <c r="J1017"/>
      <c r="K1017"/>
    </row>
    <row r="1018" spans="1:11" ht="14.25">
      <c r="A1018" s="134">
        <v>37328</v>
      </c>
      <c r="B1018" s="111">
        <v>37.1749</v>
      </c>
      <c r="C1018" s="111">
        <f t="shared" si="16"/>
        <v>0.037174900000000004</v>
      </c>
      <c r="D1018" s="129">
        <v>22.118</v>
      </c>
      <c r="E1018" s="129">
        <v>25.3269</v>
      </c>
      <c r="F1018" s="132"/>
      <c r="G1018"/>
      <c r="H1018"/>
      <c r="I1018"/>
      <c r="J1018"/>
      <c r="K1018"/>
    </row>
    <row r="1019" spans="1:11" ht="14.25">
      <c r="A1019" s="134">
        <v>37329</v>
      </c>
      <c r="B1019" s="111">
        <v>37.9109</v>
      </c>
      <c r="C1019" s="111">
        <f t="shared" si="16"/>
        <v>0.0379109</v>
      </c>
      <c r="D1019" s="129">
        <v>22.5539</v>
      </c>
      <c r="E1019" s="129">
        <v>25.8231</v>
      </c>
      <c r="F1019" s="132"/>
      <c r="G1019"/>
      <c r="H1019"/>
      <c r="I1019"/>
      <c r="J1019"/>
      <c r="K1019"/>
    </row>
    <row r="1020" spans="1:9" ht="14.25">
      <c r="A1020" s="134">
        <v>37330</v>
      </c>
      <c r="B1020" s="111">
        <v>35.9396</v>
      </c>
      <c r="C1020" s="111">
        <f t="shared" si="16"/>
        <v>0.0359396</v>
      </c>
      <c r="D1020" s="129">
        <v>21.5883</v>
      </c>
      <c r="E1020" s="129">
        <v>24.5238</v>
      </c>
      <c r="F1020" s="132"/>
      <c r="G1020"/>
      <c r="H1020"/>
      <c r="I1020"/>
    </row>
    <row r="1021" spans="1:9" ht="14.25">
      <c r="A1021" s="134">
        <v>37333</v>
      </c>
      <c r="B1021" s="111">
        <v>34.8813</v>
      </c>
      <c r="C1021" s="111">
        <f t="shared" si="16"/>
        <v>0.034881300000000004</v>
      </c>
      <c r="D1021" s="129">
        <v>21.1264</v>
      </c>
      <c r="E1021" s="129">
        <v>23.8635</v>
      </c>
      <c r="F1021" s="132"/>
      <c r="G1021"/>
      <c r="H1021"/>
      <c r="I1021"/>
    </row>
    <row r="1022" spans="1:9" ht="14.25">
      <c r="A1022" s="134">
        <v>37334</v>
      </c>
      <c r="B1022" s="111">
        <v>34.2759</v>
      </c>
      <c r="C1022" s="111">
        <f t="shared" si="16"/>
        <v>0.0342759</v>
      </c>
      <c r="D1022" s="111">
        <v>20.5941</v>
      </c>
      <c r="E1022" s="111">
        <v>23.4237</v>
      </c>
      <c r="G1022"/>
      <c r="H1022"/>
      <c r="I1022"/>
    </row>
    <row r="1023" spans="1:9" ht="14.25">
      <c r="A1023" s="134">
        <v>37335</v>
      </c>
      <c r="B1023" s="111">
        <v>35.608</v>
      </c>
      <c r="C1023" s="111">
        <f t="shared" si="16"/>
        <v>0.035608</v>
      </c>
      <c r="D1023" s="111">
        <v>21.4435</v>
      </c>
      <c r="E1023" s="111">
        <v>24.2876</v>
      </c>
      <c r="G1023"/>
      <c r="H1023"/>
      <c r="I1023"/>
    </row>
    <row r="1024" spans="1:9" ht="14.25">
      <c r="A1024" s="134">
        <v>37336</v>
      </c>
      <c r="B1024" s="111">
        <v>37.0921</v>
      </c>
      <c r="C1024" s="111">
        <f t="shared" si="16"/>
        <v>0.0370921</v>
      </c>
      <c r="D1024" s="111">
        <v>22.3282</v>
      </c>
      <c r="E1024" s="111">
        <v>25.3327</v>
      </c>
      <c r="G1024"/>
      <c r="H1024"/>
      <c r="I1024"/>
    </row>
    <row r="1025" spans="1:5" ht="14.25">
      <c r="A1025" s="134">
        <v>37337</v>
      </c>
      <c r="B1025" s="111">
        <v>32.7804</v>
      </c>
      <c r="C1025" s="111">
        <f t="shared" si="16"/>
        <v>0.0327804</v>
      </c>
      <c r="D1025" s="111">
        <v>19.7516</v>
      </c>
      <c r="E1025" s="111">
        <v>22.4017</v>
      </c>
    </row>
    <row r="1026" spans="1:5" ht="14.25">
      <c r="A1026" s="134">
        <v>37340</v>
      </c>
      <c r="B1026" s="111">
        <v>36.1679</v>
      </c>
      <c r="C1026" s="111">
        <f t="shared" si="16"/>
        <v>0.0361679</v>
      </c>
      <c r="D1026" s="111">
        <v>21.7845</v>
      </c>
      <c r="E1026" s="111">
        <v>24.7692</v>
      </c>
    </row>
    <row r="1027" spans="1:5" ht="14.25">
      <c r="A1027" s="134">
        <v>37341</v>
      </c>
      <c r="B1027" s="111">
        <v>40.5869</v>
      </c>
      <c r="C1027" s="111">
        <f t="shared" si="16"/>
        <v>0.0405869</v>
      </c>
      <c r="D1027" s="111">
        <v>24.336</v>
      </c>
      <c r="E1027" s="111">
        <v>27.784</v>
      </c>
    </row>
    <row r="1028" spans="1:5" ht="14.25">
      <c r="A1028" s="134">
        <v>37342</v>
      </c>
      <c r="B1028" s="111">
        <v>46.1906</v>
      </c>
      <c r="C1028" s="111">
        <f t="shared" si="16"/>
        <v>0.046190600000000005</v>
      </c>
      <c r="D1028" s="111">
        <v>27.6151</v>
      </c>
      <c r="E1028" s="111">
        <v>31.6071</v>
      </c>
    </row>
    <row r="1029" spans="1:5" ht="14.25">
      <c r="A1029" s="134">
        <v>37343</v>
      </c>
      <c r="B1029" s="111">
        <v>41.1889</v>
      </c>
      <c r="C1029" s="111">
        <f t="shared" si="16"/>
        <v>0.0411889</v>
      </c>
      <c r="D1029" s="111">
        <v>24.5796</v>
      </c>
      <c r="E1029" s="111">
        <v>28.1038</v>
      </c>
    </row>
    <row r="1030" spans="1:5" ht="14.25">
      <c r="A1030" s="134">
        <v>37348</v>
      </c>
      <c r="B1030" s="111">
        <v>43.7004</v>
      </c>
      <c r="C1030" s="111">
        <f t="shared" si="16"/>
        <v>0.0437004</v>
      </c>
      <c r="D1030" s="111">
        <v>25.9879</v>
      </c>
      <c r="E1030" s="111">
        <v>29.789</v>
      </c>
    </row>
    <row r="1031" spans="1:5" ht="14.25">
      <c r="A1031" s="134">
        <v>37349</v>
      </c>
      <c r="B1031" s="111">
        <v>36.6758</v>
      </c>
      <c r="C1031" s="111">
        <f aca="true" t="shared" si="17" ref="C1031:C1094">B1031*10^-3</f>
        <v>0.0366758</v>
      </c>
      <c r="D1031" s="111">
        <v>22.0331</v>
      </c>
      <c r="E1031" s="111">
        <v>25.0775</v>
      </c>
    </row>
    <row r="1032" spans="1:5" ht="14.25">
      <c r="A1032" s="134">
        <v>37350</v>
      </c>
      <c r="B1032" s="111">
        <v>37.8566</v>
      </c>
      <c r="C1032" s="111">
        <f t="shared" si="17"/>
        <v>0.037856600000000004</v>
      </c>
      <c r="D1032" s="111">
        <v>22.7833</v>
      </c>
      <c r="E1032" s="111">
        <v>25.8813</v>
      </c>
    </row>
    <row r="1033" spans="1:5" ht="14.25">
      <c r="A1033" s="134">
        <v>37351</v>
      </c>
      <c r="B1033" s="111">
        <v>34.1327</v>
      </c>
      <c r="C1033" s="111">
        <f t="shared" si="17"/>
        <v>0.0341327</v>
      </c>
      <c r="D1033" s="111">
        <v>20.5913</v>
      </c>
      <c r="E1033" s="111">
        <v>23.3514</v>
      </c>
    </row>
    <row r="1034" spans="1:5" ht="14.25">
      <c r="A1034" s="134">
        <v>37354</v>
      </c>
      <c r="B1034" s="111">
        <v>42.41</v>
      </c>
      <c r="C1034" s="111">
        <f t="shared" si="17"/>
        <v>0.042409999999999996</v>
      </c>
      <c r="D1034" s="111">
        <v>25.4205</v>
      </c>
      <c r="E1034" s="111">
        <v>28.933</v>
      </c>
    </row>
    <row r="1035" spans="1:5" ht="14.25">
      <c r="A1035" s="134">
        <v>37355</v>
      </c>
      <c r="B1035" s="111">
        <v>46.6313</v>
      </c>
      <c r="C1035" s="111">
        <f t="shared" si="17"/>
        <v>0.04663130000000001</v>
      </c>
      <c r="D1035" s="111">
        <v>27.9654</v>
      </c>
      <c r="E1035" s="111">
        <v>31.8585</v>
      </c>
    </row>
    <row r="1036" spans="1:5" ht="14.25">
      <c r="A1036" s="134">
        <v>37356</v>
      </c>
      <c r="B1036" s="111">
        <v>46.4414</v>
      </c>
      <c r="C1036" s="111">
        <f t="shared" si="17"/>
        <v>0.0464414</v>
      </c>
      <c r="D1036" s="111">
        <v>27.7508</v>
      </c>
      <c r="E1036" s="111">
        <v>31.6682</v>
      </c>
    </row>
    <row r="1037" spans="1:5" ht="14.25">
      <c r="A1037" s="134">
        <v>37357</v>
      </c>
      <c r="B1037" s="111">
        <v>48.572</v>
      </c>
      <c r="C1037" s="111">
        <f t="shared" si="17"/>
        <v>0.048572000000000004</v>
      </c>
      <c r="D1037" s="111">
        <v>29.1379</v>
      </c>
      <c r="E1037" s="111">
        <v>33.1187</v>
      </c>
    </row>
    <row r="1038" spans="1:5" ht="14.25">
      <c r="A1038" s="134">
        <v>37358</v>
      </c>
      <c r="B1038" s="111">
        <v>50.529</v>
      </c>
      <c r="C1038" s="111">
        <f t="shared" si="17"/>
        <v>0.050529000000000004</v>
      </c>
      <c r="D1038" s="111">
        <v>30.2816</v>
      </c>
      <c r="E1038" s="111">
        <v>34.4344</v>
      </c>
    </row>
    <row r="1039" spans="1:5" ht="14.25">
      <c r="A1039" s="134">
        <v>37361</v>
      </c>
      <c r="B1039" s="111">
        <v>52.2877</v>
      </c>
      <c r="C1039" s="111">
        <f t="shared" si="17"/>
        <v>0.0522877</v>
      </c>
      <c r="D1039" s="111">
        <v>31.4061</v>
      </c>
      <c r="E1039" s="111">
        <v>35.6766</v>
      </c>
    </row>
    <row r="1040" spans="1:5" ht="14.25">
      <c r="A1040" s="134">
        <v>37362</v>
      </c>
      <c r="B1040" s="111">
        <v>62.9142</v>
      </c>
      <c r="C1040" s="111">
        <f t="shared" si="17"/>
        <v>0.0629142</v>
      </c>
      <c r="D1040" s="111">
        <v>37.7382</v>
      </c>
      <c r="E1040" s="111">
        <v>42.8746</v>
      </c>
    </row>
    <row r="1041" spans="1:5" ht="14.25">
      <c r="A1041" s="134">
        <v>37363</v>
      </c>
      <c r="B1041" s="111">
        <v>58.1823</v>
      </c>
      <c r="C1041" s="111">
        <f t="shared" si="17"/>
        <v>0.0581823</v>
      </c>
      <c r="D1041" s="111">
        <v>34.854</v>
      </c>
      <c r="E1041" s="111">
        <v>39.5933</v>
      </c>
    </row>
    <row r="1042" spans="1:5" ht="14.25">
      <c r="A1042" s="134">
        <v>37364</v>
      </c>
      <c r="B1042" s="111">
        <v>54.8534</v>
      </c>
      <c r="C1042" s="111">
        <f t="shared" si="17"/>
        <v>0.054853400000000004</v>
      </c>
      <c r="D1042" s="111">
        <v>33.1201</v>
      </c>
      <c r="E1042" s="111">
        <v>37.2975</v>
      </c>
    </row>
    <row r="1043" spans="1:5" ht="14.25">
      <c r="A1043" s="134">
        <v>37365</v>
      </c>
      <c r="B1043" s="111">
        <v>53.7015</v>
      </c>
      <c r="C1043" s="111">
        <f t="shared" si="17"/>
        <v>0.053701500000000006</v>
      </c>
      <c r="D1043" s="111">
        <v>32.5281</v>
      </c>
      <c r="E1043" s="111">
        <v>36.569</v>
      </c>
    </row>
    <row r="1044" spans="1:5" ht="14.25">
      <c r="A1044" s="134">
        <v>37368</v>
      </c>
      <c r="B1044" s="111">
        <v>52.8046</v>
      </c>
      <c r="C1044" s="111">
        <f t="shared" si="17"/>
        <v>0.0528046</v>
      </c>
      <c r="D1044" s="111">
        <v>31.9786</v>
      </c>
      <c r="E1044" s="111">
        <v>35.9876</v>
      </c>
    </row>
    <row r="1045" spans="1:5" ht="14.25">
      <c r="A1045" s="134">
        <v>37369</v>
      </c>
      <c r="B1045" s="111">
        <v>50.4197</v>
      </c>
      <c r="C1045" s="111">
        <f t="shared" si="17"/>
        <v>0.0504197</v>
      </c>
      <c r="D1045" s="111">
        <v>30.533</v>
      </c>
      <c r="E1045" s="111">
        <v>34.3763</v>
      </c>
    </row>
    <row r="1046" spans="1:5" ht="14.25">
      <c r="A1046" s="134">
        <v>37370</v>
      </c>
      <c r="B1046" s="111">
        <v>52.5074</v>
      </c>
      <c r="C1046" s="111">
        <f t="shared" si="17"/>
        <v>0.052507399999999996</v>
      </c>
      <c r="D1046" s="111">
        <v>31.7247</v>
      </c>
      <c r="E1046" s="111">
        <v>35.7582</v>
      </c>
    </row>
    <row r="1047" spans="1:5" ht="14.25">
      <c r="A1047" s="134">
        <v>37371</v>
      </c>
      <c r="B1047" s="111">
        <v>55.9439</v>
      </c>
      <c r="C1047" s="111">
        <f t="shared" si="17"/>
        <v>0.0559439</v>
      </c>
      <c r="D1047" s="111">
        <v>33.942</v>
      </c>
      <c r="E1047" s="111">
        <v>38.1713</v>
      </c>
    </row>
    <row r="1048" spans="1:5" ht="14.25">
      <c r="A1048" s="134">
        <v>37372</v>
      </c>
      <c r="B1048" s="111">
        <v>47.4414</v>
      </c>
      <c r="C1048" s="111">
        <f t="shared" si="17"/>
        <v>0.0474414</v>
      </c>
      <c r="D1048" s="111">
        <v>29.0505</v>
      </c>
      <c r="E1048" s="111">
        <v>32.3899</v>
      </c>
    </row>
    <row r="1049" spans="1:5" ht="14.25">
      <c r="A1049" s="134">
        <v>37375</v>
      </c>
      <c r="B1049" s="111">
        <v>44.4959</v>
      </c>
      <c r="C1049" s="111">
        <f t="shared" si="17"/>
        <v>0.0444959</v>
      </c>
      <c r="D1049" s="111">
        <v>27.2585</v>
      </c>
      <c r="E1049" s="111">
        <v>30.3851</v>
      </c>
    </row>
    <row r="1050" spans="1:5" ht="14.25">
      <c r="A1050" s="134">
        <v>37376</v>
      </c>
      <c r="B1050" s="111">
        <v>42.6149</v>
      </c>
      <c r="C1050" s="111">
        <f t="shared" si="17"/>
        <v>0.0426149</v>
      </c>
      <c r="D1050" s="111">
        <v>26.3137</v>
      </c>
      <c r="E1050" s="111">
        <v>29.1145</v>
      </c>
    </row>
    <row r="1051" spans="1:5" ht="14.25">
      <c r="A1051" s="134">
        <v>37377</v>
      </c>
      <c r="B1051" s="111">
        <v>27.4511</v>
      </c>
      <c r="C1051" s="111">
        <f t="shared" si="17"/>
        <v>0.027451100000000003</v>
      </c>
      <c r="D1051" s="111">
        <v>16.9126</v>
      </c>
      <c r="E1051" s="111">
        <v>18.7751</v>
      </c>
    </row>
    <row r="1052" spans="1:5" ht="14.25">
      <c r="A1052" s="134">
        <v>37378</v>
      </c>
      <c r="B1052" s="111">
        <v>49.9926</v>
      </c>
      <c r="C1052" s="111">
        <f t="shared" si="17"/>
        <v>0.049992600000000005</v>
      </c>
      <c r="D1052" s="111">
        <v>30.8005</v>
      </c>
      <c r="E1052" s="111">
        <v>34.1923</v>
      </c>
    </row>
    <row r="1053" spans="1:5" ht="14.25">
      <c r="A1053" s="134">
        <v>37379</v>
      </c>
      <c r="B1053" s="111">
        <v>50.1592</v>
      </c>
      <c r="C1053" s="111">
        <f t="shared" si="17"/>
        <v>0.0501592</v>
      </c>
      <c r="D1053" s="111">
        <v>31.1067</v>
      </c>
      <c r="E1053" s="111">
        <v>34.4406</v>
      </c>
    </row>
    <row r="1054" spans="1:5" ht="14.25">
      <c r="A1054" s="134">
        <v>37382</v>
      </c>
      <c r="B1054" s="111">
        <v>51.4408</v>
      </c>
      <c r="C1054" s="111">
        <f t="shared" si="17"/>
        <v>0.0514408</v>
      </c>
      <c r="D1054" s="111">
        <v>32.1169</v>
      </c>
      <c r="E1054" s="111">
        <v>35.3593</v>
      </c>
    </row>
    <row r="1055" spans="1:5" ht="14.25">
      <c r="A1055" s="134">
        <v>37383</v>
      </c>
      <c r="B1055" s="111">
        <v>47.8908</v>
      </c>
      <c r="C1055" s="111">
        <f t="shared" si="17"/>
        <v>0.0478908</v>
      </c>
      <c r="D1055" s="111">
        <v>30.0703</v>
      </c>
      <c r="E1055" s="111">
        <v>32.8853</v>
      </c>
    </row>
    <row r="1056" spans="1:5" ht="14.25">
      <c r="A1056" s="134">
        <v>37384</v>
      </c>
      <c r="B1056" s="111">
        <v>40.962</v>
      </c>
      <c r="C1056" s="111">
        <f t="shared" si="17"/>
        <v>0.040962000000000005</v>
      </c>
      <c r="D1056" s="111">
        <v>25.6153</v>
      </c>
      <c r="E1056" s="111">
        <v>28.0715</v>
      </c>
    </row>
    <row r="1057" spans="1:5" ht="14.25">
      <c r="A1057" s="134">
        <v>37386</v>
      </c>
      <c r="B1057" s="111">
        <v>33.7119</v>
      </c>
      <c r="C1057" s="111">
        <f t="shared" si="17"/>
        <v>0.0337119</v>
      </c>
      <c r="D1057" s="111">
        <v>21.0378</v>
      </c>
      <c r="E1057" s="111">
        <v>23.149</v>
      </c>
    </row>
    <row r="1058" spans="1:5" ht="14.25">
      <c r="A1058" s="134">
        <v>37389</v>
      </c>
      <c r="B1058" s="111">
        <v>51.7432</v>
      </c>
      <c r="C1058" s="111">
        <f t="shared" si="17"/>
        <v>0.0517432</v>
      </c>
      <c r="D1058" s="111">
        <v>32.4324</v>
      </c>
      <c r="E1058" s="111">
        <v>35.5696</v>
      </c>
    </row>
    <row r="1059" spans="1:5" ht="14.25">
      <c r="A1059" s="134">
        <v>37390</v>
      </c>
      <c r="B1059" s="111">
        <v>48.6666</v>
      </c>
      <c r="C1059" s="111">
        <f t="shared" si="17"/>
        <v>0.048666600000000004</v>
      </c>
      <c r="D1059" s="111">
        <v>30.5124</v>
      </c>
      <c r="E1059" s="111">
        <v>33.4639</v>
      </c>
    </row>
    <row r="1060" spans="1:5" ht="14.25">
      <c r="A1060" s="134">
        <v>37391</v>
      </c>
      <c r="B1060" s="111">
        <v>43.8155</v>
      </c>
      <c r="C1060" s="111">
        <f t="shared" si="17"/>
        <v>0.0438155</v>
      </c>
      <c r="D1060" s="111">
        <v>27.2816</v>
      </c>
      <c r="E1060" s="111">
        <v>30.1055</v>
      </c>
    </row>
    <row r="1061" spans="1:5" ht="14.25">
      <c r="A1061" s="134">
        <v>37392</v>
      </c>
      <c r="B1061" s="111">
        <v>46.8499</v>
      </c>
      <c r="C1061" s="111">
        <f t="shared" si="17"/>
        <v>0.0468499</v>
      </c>
      <c r="D1061" s="111">
        <v>29.0519</v>
      </c>
      <c r="E1061" s="111">
        <v>32.1727</v>
      </c>
    </row>
    <row r="1062" spans="1:5" ht="14.25">
      <c r="A1062" s="134">
        <v>37393</v>
      </c>
      <c r="B1062" s="111">
        <v>40.0139</v>
      </c>
      <c r="C1062" s="111">
        <f t="shared" si="17"/>
        <v>0.0400139</v>
      </c>
      <c r="D1062" s="111">
        <v>25.0764</v>
      </c>
      <c r="E1062" s="111">
        <v>27.484</v>
      </c>
    </row>
    <row r="1063" spans="1:5" ht="14.25">
      <c r="A1063" s="134">
        <v>37397</v>
      </c>
      <c r="B1063" s="111">
        <v>45.8017</v>
      </c>
      <c r="C1063" s="111">
        <f t="shared" si="17"/>
        <v>0.0458017</v>
      </c>
      <c r="D1063" s="111">
        <v>28.7738</v>
      </c>
      <c r="E1063" s="111">
        <v>31.4399</v>
      </c>
    </row>
    <row r="1064" spans="1:5" ht="14.25">
      <c r="A1064" s="134">
        <v>37398</v>
      </c>
      <c r="B1064" s="111">
        <v>43.2128</v>
      </c>
      <c r="C1064" s="111">
        <f t="shared" si="17"/>
        <v>0.0432128</v>
      </c>
      <c r="D1064" s="111">
        <v>27.4093</v>
      </c>
      <c r="E1064" s="111">
        <v>29.7507</v>
      </c>
    </row>
    <row r="1065" spans="1:5" ht="14.25">
      <c r="A1065" s="134">
        <v>37399</v>
      </c>
      <c r="B1065" s="111">
        <v>43.9279</v>
      </c>
      <c r="C1065" s="111">
        <f t="shared" si="17"/>
        <v>0.0439279</v>
      </c>
      <c r="D1065" s="111">
        <v>28.0031</v>
      </c>
      <c r="E1065" s="111">
        <v>30.2409</v>
      </c>
    </row>
    <row r="1066" spans="1:5" ht="14.25">
      <c r="A1066" s="134">
        <v>37400</v>
      </c>
      <c r="B1066" s="111">
        <v>52.2533</v>
      </c>
      <c r="C1066" s="111">
        <f t="shared" si="17"/>
        <v>0.0522533</v>
      </c>
      <c r="D1066" s="111">
        <v>33.1162</v>
      </c>
      <c r="E1066" s="111">
        <v>35.9451</v>
      </c>
    </row>
    <row r="1067" spans="1:5" ht="14.25">
      <c r="A1067" s="134">
        <v>37403</v>
      </c>
      <c r="B1067" s="111">
        <v>46.0821</v>
      </c>
      <c r="C1067" s="111">
        <f t="shared" si="17"/>
        <v>0.0460821</v>
      </c>
      <c r="D1067" s="111">
        <v>29.0399</v>
      </c>
      <c r="E1067" s="111">
        <v>31.6064</v>
      </c>
    </row>
    <row r="1068" spans="1:5" ht="14.25">
      <c r="A1068" s="134">
        <v>37404</v>
      </c>
      <c r="B1068" s="111">
        <v>50.8185</v>
      </c>
      <c r="C1068" s="111">
        <f t="shared" si="17"/>
        <v>0.0508185</v>
      </c>
      <c r="D1068" s="111">
        <v>32.0097</v>
      </c>
      <c r="E1068" s="111">
        <v>34.831</v>
      </c>
    </row>
    <row r="1069" spans="1:5" ht="14.25">
      <c r="A1069" s="134">
        <v>37405</v>
      </c>
      <c r="B1069" s="111">
        <v>52.9076</v>
      </c>
      <c r="C1069" s="111">
        <f t="shared" si="17"/>
        <v>0.052907600000000006</v>
      </c>
      <c r="D1069" s="111">
        <v>33.4764</v>
      </c>
      <c r="E1069" s="111">
        <v>36.1712</v>
      </c>
    </row>
    <row r="1070" spans="1:5" ht="14.25">
      <c r="A1070" s="134">
        <v>37406</v>
      </c>
      <c r="B1070" s="111">
        <v>36.2591</v>
      </c>
      <c r="C1070" s="111">
        <f t="shared" si="17"/>
        <v>0.036259099999999996</v>
      </c>
      <c r="D1070" s="111">
        <v>23.0546</v>
      </c>
      <c r="E1070" s="111">
        <v>24.7367</v>
      </c>
    </row>
    <row r="1071" spans="1:5" ht="14.25">
      <c r="A1071" s="134">
        <v>37407</v>
      </c>
      <c r="B1071" s="111">
        <v>43.4394</v>
      </c>
      <c r="C1071" s="111">
        <f t="shared" si="17"/>
        <v>0.0434394</v>
      </c>
      <c r="D1071" s="111">
        <v>27.785</v>
      </c>
      <c r="E1071" s="111">
        <v>29.6373</v>
      </c>
    </row>
    <row r="1072" spans="1:5" ht="14.25">
      <c r="A1072" s="134">
        <v>37410</v>
      </c>
      <c r="B1072" s="111">
        <v>44.1759</v>
      </c>
      <c r="C1072" s="111">
        <f t="shared" si="17"/>
        <v>0.0441759</v>
      </c>
      <c r="D1072" s="111">
        <v>28.2561</v>
      </c>
      <c r="E1072" s="111">
        <v>30.1398</v>
      </c>
    </row>
    <row r="1073" spans="1:5" ht="14.25">
      <c r="A1073" s="134">
        <v>37411</v>
      </c>
      <c r="B1073" s="111">
        <v>48.6877</v>
      </c>
      <c r="C1073" s="111">
        <f t="shared" si="17"/>
        <v>0.0486877</v>
      </c>
      <c r="D1073" s="111">
        <v>30.9022</v>
      </c>
      <c r="E1073" s="111">
        <v>33.1818</v>
      </c>
    </row>
    <row r="1074" spans="1:5" ht="14.25">
      <c r="A1074" s="134">
        <v>37412</v>
      </c>
      <c r="B1074" s="111">
        <v>56.8195</v>
      </c>
      <c r="C1074" s="111">
        <f t="shared" si="17"/>
        <v>0.0568195</v>
      </c>
      <c r="D1074" s="111">
        <v>36.5135</v>
      </c>
      <c r="E1074" s="111">
        <v>38.7001</v>
      </c>
    </row>
    <row r="1075" spans="1:5" ht="14.25">
      <c r="A1075" s="134">
        <v>37413</v>
      </c>
      <c r="B1075" s="111">
        <v>45.0662</v>
      </c>
      <c r="C1075" s="111">
        <f t="shared" si="17"/>
        <v>0.0450662</v>
      </c>
      <c r="D1075" s="111">
        <v>28.9606</v>
      </c>
      <c r="E1075" s="111">
        <v>30.6948</v>
      </c>
    </row>
    <row r="1076" spans="1:5" ht="14.25">
      <c r="A1076" s="134">
        <v>37414</v>
      </c>
      <c r="B1076" s="111">
        <v>51.3593</v>
      </c>
      <c r="C1076" s="111">
        <f t="shared" si="17"/>
        <v>0.0513593</v>
      </c>
      <c r="D1076" s="111">
        <v>32.6952</v>
      </c>
      <c r="E1076" s="111">
        <v>34.834</v>
      </c>
    </row>
    <row r="1077" spans="1:5" ht="14.25">
      <c r="A1077" s="134">
        <v>37417</v>
      </c>
      <c r="B1077" s="111">
        <v>60.2872</v>
      </c>
      <c r="C1077" s="111">
        <f t="shared" si="17"/>
        <v>0.0602872</v>
      </c>
      <c r="D1077" s="111">
        <v>38.7379</v>
      </c>
      <c r="E1077" s="111">
        <v>40.9838</v>
      </c>
    </row>
    <row r="1078" spans="1:5" ht="14.25">
      <c r="A1078" s="134">
        <v>37418</v>
      </c>
      <c r="B1078" s="111">
        <v>57.5919</v>
      </c>
      <c r="C1078" s="111">
        <f t="shared" si="17"/>
        <v>0.0575919</v>
      </c>
      <c r="D1078" s="111">
        <v>36.9957</v>
      </c>
      <c r="E1078" s="111">
        <v>39.1116</v>
      </c>
    </row>
    <row r="1079" spans="1:5" ht="14.25">
      <c r="A1079" s="134">
        <v>37419</v>
      </c>
      <c r="B1079" s="111">
        <v>57.8566</v>
      </c>
      <c r="C1079" s="111">
        <f t="shared" si="17"/>
        <v>0.0578566</v>
      </c>
      <c r="D1079" s="111">
        <v>36.933</v>
      </c>
      <c r="E1079" s="111">
        <v>39.2195</v>
      </c>
    </row>
    <row r="1080" spans="1:5" ht="14.25">
      <c r="A1080" s="134">
        <v>37420</v>
      </c>
      <c r="B1080" s="111">
        <v>58.0927</v>
      </c>
      <c r="C1080" s="111">
        <f t="shared" si="17"/>
        <v>0.058092700000000004</v>
      </c>
      <c r="D1080" s="111">
        <v>37.1661</v>
      </c>
      <c r="E1080" s="111">
        <v>39.3209</v>
      </c>
    </row>
    <row r="1081" spans="1:5" ht="14.25">
      <c r="A1081" s="134">
        <v>37421</v>
      </c>
      <c r="B1081" s="111">
        <v>58.2054</v>
      </c>
      <c r="C1081" s="111">
        <f t="shared" si="17"/>
        <v>0.0582054</v>
      </c>
      <c r="D1081" s="111">
        <v>37.1305</v>
      </c>
      <c r="E1081" s="111">
        <v>39.4292</v>
      </c>
    </row>
    <row r="1082" spans="1:5" ht="14.25">
      <c r="A1082" s="134">
        <v>37424</v>
      </c>
      <c r="B1082" s="111">
        <v>58.6633</v>
      </c>
      <c r="C1082" s="111">
        <f t="shared" si="17"/>
        <v>0.0586633</v>
      </c>
      <c r="D1082" s="111">
        <v>37.6905</v>
      </c>
      <c r="E1082" s="111">
        <v>39.7663</v>
      </c>
    </row>
    <row r="1083" spans="1:5" ht="14.25">
      <c r="A1083" s="134">
        <v>37425</v>
      </c>
      <c r="B1083" s="111">
        <v>81.0926</v>
      </c>
      <c r="C1083" s="111">
        <f t="shared" si="17"/>
        <v>0.0810926</v>
      </c>
      <c r="D1083" s="111">
        <v>51.7697</v>
      </c>
      <c r="E1083" s="111">
        <v>54.9222</v>
      </c>
    </row>
    <row r="1084" spans="1:5" ht="14.25">
      <c r="A1084" s="134">
        <v>37426</v>
      </c>
      <c r="B1084" s="111">
        <v>108.5689</v>
      </c>
      <c r="C1084" s="111">
        <f t="shared" si="17"/>
        <v>0.1085689</v>
      </c>
      <c r="D1084" s="111">
        <v>69.3106</v>
      </c>
      <c r="E1084" s="111">
        <v>73.5313</v>
      </c>
    </row>
    <row r="1085" spans="1:5" ht="14.25">
      <c r="A1085" s="134">
        <v>37427</v>
      </c>
      <c r="B1085" s="111">
        <v>115.1715</v>
      </c>
      <c r="C1085" s="111">
        <f t="shared" si="17"/>
        <v>0.1151715</v>
      </c>
      <c r="D1085" s="111">
        <v>73.5257</v>
      </c>
      <c r="E1085" s="111">
        <v>78.003</v>
      </c>
    </row>
    <row r="1086" spans="1:5" ht="14.25">
      <c r="A1086" s="134">
        <v>37428</v>
      </c>
      <c r="B1086" s="111">
        <v>93.2606</v>
      </c>
      <c r="C1086" s="111">
        <f t="shared" si="17"/>
        <v>0.0932606</v>
      </c>
      <c r="D1086" s="111">
        <v>59.5377</v>
      </c>
      <c r="E1086" s="111">
        <v>63.1633</v>
      </c>
    </row>
    <row r="1087" spans="1:5" ht="14.25">
      <c r="A1087" s="134">
        <v>37431</v>
      </c>
      <c r="B1087" s="111">
        <v>83.7807</v>
      </c>
      <c r="C1087" s="111">
        <f t="shared" si="17"/>
        <v>0.0837807</v>
      </c>
      <c r="D1087" s="111">
        <v>54.6684</v>
      </c>
      <c r="E1087" s="111">
        <v>56.9937</v>
      </c>
    </row>
    <row r="1088" spans="1:5" ht="14.25">
      <c r="A1088" s="134">
        <v>37432</v>
      </c>
      <c r="B1088" s="111">
        <v>97.8338</v>
      </c>
      <c r="C1088" s="111">
        <f t="shared" si="17"/>
        <v>0.0978338</v>
      </c>
      <c r="D1088" s="111">
        <v>65.1227</v>
      </c>
      <c r="E1088" s="111">
        <v>66.5808</v>
      </c>
    </row>
    <row r="1089" spans="1:5" ht="14.25">
      <c r="A1089" s="134">
        <v>37433</v>
      </c>
      <c r="B1089" s="111">
        <v>90.9903</v>
      </c>
      <c r="C1089" s="111">
        <f t="shared" si="17"/>
        <v>0.09099030000000001</v>
      </c>
      <c r="D1089" s="111">
        <v>60.1646</v>
      </c>
      <c r="E1089" s="111">
        <v>61.9487</v>
      </c>
    </row>
    <row r="1090" spans="1:5" ht="14.25">
      <c r="A1090" s="134">
        <v>37434</v>
      </c>
      <c r="B1090" s="111">
        <v>72.1105</v>
      </c>
      <c r="C1090" s="111">
        <f t="shared" si="17"/>
        <v>0.07211050000000001</v>
      </c>
      <c r="D1090" s="111">
        <v>48.787</v>
      </c>
      <c r="E1090" s="111">
        <v>49.1953</v>
      </c>
    </row>
    <row r="1091" spans="1:5" ht="14.25">
      <c r="A1091" s="134">
        <v>37435</v>
      </c>
      <c r="B1091" s="111">
        <v>65.0745</v>
      </c>
      <c r="C1091" s="111">
        <f t="shared" si="17"/>
        <v>0.06507450000000001</v>
      </c>
      <c r="D1091" s="111">
        <v>43.4243</v>
      </c>
      <c r="E1091" s="111">
        <v>44.2022</v>
      </c>
    </row>
    <row r="1092" spans="1:5" ht="14.25">
      <c r="A1092" s="134">
        <v>37438</v>
      </c>
      <c r="B1092" s="111">
        <v>82.824</v>
      </c>
      <c r="C1092" s="111">
        <f t="shared" si="17"/>
        <v>0.082824</v>
      </c>
      <c r="D1092" s="111">
        <v>56.1218</v>
      </c>
      <c r="E1092" s="111">
        <v>56.2625</v>
      </c>
    </row>
    <row r="1093" spans="1:5" ht="14.25">
      <c r="A1093" s="134">
        <v>37439</v>
      </c>
      <c r="B1093" s="111">
        <v>109.3315</v>
      </c>
      <c r="C1093" s="111">
        <f t="shared" si="17"/>
        <v>0.10933150000000001</v>
      </c>
      <c r="D1093" s="111">
        <v>73.7331</v>
      </c>
      <c r="E1093" s="111">
        <v>74.3802</v>
      </c>
    </row>
    <row r="1094" spans="1:5" ht="14.25">
      <c r="A1094" s="134">
        <v>37440</v>
      </c>
      <c r="B1094" s="111">
        <v>162.7322</v>
      </c>
      <c r="C1094" s="111">
        <f t="shared" si="17"/>
        <v>0.16273220000000002</v>
      </c>
      <c r="D1094" s="111">
        <v>109.1836</v>
      </c>
      <c r="E1094" s="111">
        <v>110.9815</v>
      </c>
    </row>
    <row r="1095" spans="1:5" ht="14.25">
      <c r="A1095" s="134">
        <v>37441</v>
      </c>
      <c r="B1095" s="111">
        <v>128.9719</v>
      </c>
      <c r="C1095" s="111">
        <f aca="true" t="shared" si="18" ref="C1095:C1158">B1095*10^-3</f>
        <v>0.1289719</v>
      </c>
      <c r="D1095" s="111">
        <v>86.2753</v>
      </c>
      <c r="E1095" s="111">
        <v>88.2161</v>
      </c>
    </row>
    <row r="1096" spans="1:5" ht="14.25">
      <c r="A1096" s="134">
        <v>37442</v>
      </c>
      <c r="B1096" s="111">
        <v>136.54</v>
      </c>
      <c r="C1096" s="111">
        <f t="shared" si="18"/>
        <v>0.13654</v>
      </c>
      <c r="D1096" s="111">
        <v>91.269</v>
      </c>
      <c r="E1096" s="111">
        <v>93.2268</v>
      </c>
    </row>
    <row r="1097" spans="1:5" ht="14.25">
      <c r="A1097" s="134">
        <v>37445</v>
      </c>
      <c r="B1097" s="111">
        <v>100.5532</v>
      </c>
      <c r="C1097" s="111">
        <f t="shared" si="18"/>
        <v>0.10055320000000001</v>
      </c>
      <c r="D1097" s="111">
        <v>66.7085</v>
      </c>
      <c r="E1097" s="111">
        <v>68.5949</v>
      </c>
    </row>
    <row r="1098" spans="1:5" ht="14.25">
      <c r="A1098" s="134">
        <v>37446</v>
      </c>
      <c r="B1098" s="111">
        <v>94.3962</v>
      </c>
      <c r="C1098" s="111">
        <f t="shared" si="18"/>
        <v>0.0943962</v>
      </c>
      <c r="D1098" s="111">
        <v>63.1622</v>
      </c>
      <c r="E1098" s="111">
        <v>64.2676</v>
      </c>
    </row>
    <row r="1099" spans="1:5" ht="14.25">
      <c r="A1099" s="134">
        <v>37447</v>
      </c>
      <c r="B1099" s="111">
        <v>108.5774</v>
      </c>
      <c r="C1099" s="111">
        <f t="shared" si="18"/>
        <v>0.1085774</v>
      </c>
      <c r="D1099" s="111">
        <v>73.2405</v>
      </c>
      <c r="E1099" s="111">
        <v>73.7568</v>
      </c>
    </row>
    <row r="1100" spans="1:5" ht="14.25">
      <c r="A1100" s="134">
        <v>37448</v>
      </c>
      <c r="B1100" s="111">
        <v>86.0301</v>
      </c>
      <c r="C1100" s="111">
        <f t="shared" si="18"/>
        <v>0.08603010000000001</v>
      </c>
      <c r="D1100" s="111">
        <v>57.8522</v>
      </c>
      <c r="E1100" s="111">
        <v>58.4483</v>
      </c>
    </row>
    <row r="1101" spans="1:5" ht="14.25">
      <c r="A1101" s="134">
        <v>37449</v>
      </c>
      <c r="B1101" s="111">
        <v>72.1782</v>
      </c>
      <c r="C1101" s="111">
        <f t="shared" si="18"/>
        <v>0.07217820000000001</v>
      </c>
      <c r="D1101" s="111">
        <v>48.3844</v>
      </c>
      <c r="E1101" s="111">
        <v>49.1912</v>
      </c>
    </row>
    <row r="1102" spans="1:5" ht="14.25">
      <c r="A1102" s="134">
        <v>37452</v>
      </c>
      <c r="B1102" s="111">
        <v>68.4965</v>
      </c>
      <c r="C1102" s="111">
        <f t="shared" si="18"/>
        <v>0.0684965</v>
      </c>
      <c r="D1102" s="111">
        <v>46.064</v>
      </c>
      <c r="E1102" s="111">
        <v>46.6565</v>
      </c>
    </row>
    <row r="1103" spans="1:5" ht="14.25">
      <c r="A1103" s="134">
        <v>37453</v>
      </c>
      <c r="B1103" s="111">
        <v>70.0365</v>
      </c>
      <c r="C1103" s="111">
        <f t="shared" si="18"/>
        <v>0.0700365</v>
      </c>
      <c r="D1103" s="111">
        <v>47.7777</v>
      </c>
      <c r="E1103" s="111">
        <v>47.6633</v>
      </c>
    </row>
    <row r="1104" spans="1:5" ht="14.25">
      <c r="A1104" s="134">
        <v>37454</v>
      </c>
      <c r="B1104" s="111">
        <v>68.4409</v>
      </c>
      <c r="C1104" s="111">
        <f t="shared" si="18"/>
        <v>0.0684409</v>
      </c>
      <c r="D1104" s="111">
        <v>47.23</v>
      </c>
      <c r="E1104" s="111">
        <v>46.6377</v>
      </c>
    </row>
    <row r="1105" spans="1:5" ht="14.25">
      <c r="A1105" s="134">
        <v>37455</v>
      </c>
      <c r="B1105" s="111">
        <v>64.2929</v>
      </c>
      <c r="C1105" s="111">
        <f t="shared" si="18"/>
        <v>0.0642929</v>
      </c>
      <c r="D1105" s="111">
        <v>44.1367</v>
      </c>
      <c r="E1105" s="111">
        <v>43.856</v>
      </c>
    </row>
    <row r="1106" spans="1:5" ht="14.25">
      <c r="A1106" s="134">
        <v>37456</v>
      </c>
      <c r="B1106" s="111">
        <v>56.0829</v>
      </c>
      <c r="C1106" s="111">
        <f t="shared" si="18"/>
        <v>0.056082900000000005</v>
      </c>
      <c r="D1106" s="111">
        <v>38.5249</v>
      </c>
      <c r="E1106" s="111">
        <v>38.3028</v>
      </c>
    </row>
    <row r="1107" spans="1:5" ht="14.25">
      <c r="A1107" s="134">
        <v>37459</v>
      </c>
      <c r="B1107" s="111">
        <v>67.2099</v>
      </c>
      <c r="C1107" s="111">
        <f t="shared" si="18"/>
        <v>0.0672099</v>
      </c>
      <c r="D1107" s="111">
        <v>46.5945</v>
      </c>
      <c r="E1107" s="111">
        <v>45.9241</v>
      </c>
    </row>
    <row r="1108" spans="1:5" ht="14.25">
      <c r="A1108" s="134">
        <v>37460</v>
      </c>
      <c r="B1108" s="111">
        <v>62.7255</v>
      </c>
      <c r="C1108" s="111">
        <f t="shared" si="18"/>
        <v>0.0627255</v>
      </c>
      <c r="D1108" s="111">
        <v>43.4542</v>
      </c>
      <c r="E1108" s="111">
        <v>43.0837</v>
      </c>
    </row>
    <row r="1109" spans="1:5" ht="14.25">
      <c r="A1109" s="134">
        <v>37461</v>
      </c>
      <c r="B1109" s="111">
        <v>47.7921</v>
      </c>
      <c r="C1109" s="111">
        <f t="shared" si="18"/>
        <v>0.0477921</v>
      </c>
      <c r="D1109" s="111">
        <v>32.5534</v>
      </c>
      <c r="E1109" s="111">
        <v>32.8491</v>
      </c>
    </row>
    <row r="1110" spans="1:5" ht="14.25">
      <c r="A1110" s="134">
        <v>37462</v>
      </c>
      <c r="B1110" s="111">
        <v>52.4368</v>
      </c>
      <c r="C1110" s="111">
        <f t="shared" si="18"/>
        <v>0.0524368</v>
      </c>
      <c r="D1110" s="111">
        <v>35.814</v>
      </c>
      <c r="E1110" s="111">
        <v>36.121</v>
      </c>
    </row>
    <row r="1111" spans="1:5" ht="14.25">
      <c r="A1111" s="134">
        <v>37463</v>
      </c>
      <c r="B1111" s="111">
        <v>49.1002</v>
      </c>
      <c r="C1111" s="111">
        <f t="shared" si="18"/>
        <v>0.049100200000000004</v>
      </c>
      <c r="D1111" s="111">
        <v>33.9236</v>
      </c>
      <c r="E1111" s="111">
        <v>33.8762</v>
      </c>
    </row>
    <row r="1112" spans="1:6" ht="14.25">
      <c r="A1112" s="134">
        <v>37467</v>
      </c>
      <c r="B1112" s="111">
        <v>57.7258</v>
      </c>
      <c r="C1112" s="111">
        <f t="shared" si="18"/>
        <v>0.0577258</v>
      </c>
      <c r="D1112" s="111">
        <v>39.0202</v>
      </c>
      <c r="E1112" s="111">
        <v>39.7314</v>
      </c>
      <c r="F1112" s="132">
        <v>33491</v>
      </c>
    </row>
    <row r="1113" spans="1:6" ht="14.25">
      <c r="A1113" s="134">
        <v>37468</v>
      </c>
      <c r="B1113" s="111">
        <v>60.9584</v>
      </c>
      <c r="C1113" s="111">
        <f t="shared" si="18"/>
        <v>0.060958399999999996</v>
      </c>
      <c r="D1113" s="111">
        <v>41.1226</v>
      </c>
      <c r="E1113" s="111">
        <v>41.8125</v>
      </c>
      <c r="F1113" s="132">
        <v>35388</v>
      </c>
    </row>
    <row r="1114" spans="1:6" ht="14.25">
      <c r="A1114" s="134">
        <v>37469</v>
      </c>
      <c r="B1114" s="111">
        <v>55.4972</v>
      </c>
      <c r="C1114" s="111">
        <f t="shared" si="18"/>
        <v>0.055497200000000003</v>
      </c>
      <c r="D1114" s="111">
        <v>37.325</v>
      </c>
      <c r="E1114" s="111">
        <v>38.1529</v>
      </c>
      <c r="F1114" s="132">
        <v>40350</v>
      </c>
    </row>
    <row r="1115" spans="1:6" ht="14.25">
      <c r="A1115" s="134">
        <v>37470</v>
      </c>
      <c r="B1115" s="111">
        <v>52.9734</v>
      </c>
      <c r="C1115" s="111">
        <f t="shared" si="18"/>
        <v>0.0529734</v>
      </c>
      <c r="D1115" s="111">
        <v>35.6443</v>
      </c>
      <c r="E1115" s="111">
        <v>36.5208</v>
      </c>
      <c r="F1115" s="132">
        <v>10215</v>
      </c>
    </row>
    <row r="1116" spans="1:6" ht="14.25">
      <c r="A1116" s="134">
        <v>37473</v>
      </c>
      <c r="B1116" s="111">
        <v>51.7265</v>
      </c>
      <c r="C1116" s="111">
        <f t="shared" si="18"/>
        <v>0.0517265</v>
      </c>
      <c r="D1116" s="111">
        <v>35.2107</v>
      </c>
      <c r="E1116" s="111">
        <v>35.6636</v>
      </c>
      <c r="F1116" s="132">
        <v>26205</v>
      </c>
    </row>
    <row r="1117" spans="1:6" ht="14.25">
      <c r="A1117" s="134">
        <v>37474</v>
      </c>
      <c r="B1117" s="111">
        <v>51.0287</v>
      </c>
      <c r="C1117" s="111">
        <f t="shared" si="18"/>
        <v>0.0510287</v>
      </c>
      <c r="D1117" s="111">
        <v>34.5127</v>
      </c>
      <c r="E1117" s="111">
        <v>35.0882</v>
      </c>
      <c r="F1117" s="132">
        <v>31571</v>
      </c>
    </row>
    <row r="1118" spans="1:6" ht="14.25">
      <c r="A1118" s="134">
        <v>37475</v>
      </c>
      <c r="B1118" s="111">
        <v>50.8616</v>
      </c>
      <c r="C1118" s="111">
        <f t="shared" si="18"/>
        <v>0.05086160000000001</v>
      </c>
      <c r="D1118" s="111">
        <v>33.8786</v>
      </c>
      <c r="E1118" s="111">
        <v>34.966</v>
      </c>
      <c r="F1118" s="132">
        <v>24643</v>
      </c>
    </row>
    <row r="1119" spans="1:6" ht="14.25">
      <c r="A1119" s="134">
        <v>37477</v>
      </c>
      <c r="B1119" s="111">
        <v>49.2287</v>
      </c>
      <c r="C1119" s="111">
        <f t="shared" si="18"/>
        <v>0.04922870000000001</v>
      </c>
      <c r="D1119" s="111">
        <v>32.616</v>
      </c>
      <c r="E1119" s="111">
        <v>33.6699</v>
      </c>
      <c r="F1119" s="132">
        <v>30601</v>
      </c>
    </row>
    <row r="1120" spans="1:6" ht="14.25">
      <c r="A1120" s="134">
        <v>37480</v>
      </c>
      <c r="B1120" s="111">
        <v>51.9725</v>
      </c>
      <c r="C1120" s="111">
        <f t="shared" si="18"/>
        <v>0.0519725</v>
      </c>
      <c r="D1120" s="111">
        <v>34.6614</v>
      </c>
      <c r="E1120" s="111">
        <v>35.6269</v>
      </c>
      <c r="F1120" s="132">
        <v>20545</v>
      </c>
    </row>
    <row r="1121" spans="1:6" ht="14.25">
      <c r="A1121" s="134">
        <v>37481</v>
      </c>
      <c r="B1121" s="111">
        <v>58.4465</v>
      </c>
      <c r="C1121" s="111">
        <f t="shared" si="18"/>
        <v>0.0584465</v>
      </c>
      <c r="D1121" s="111">
        <v>39.103</v>
      </c>
      <c r="E1121" s="111">
        <v>39.9826</v>
      </c>
      <c r="F1121" s="132">
        <v>33909</v>
      </c>
    </row>
    <row r="1122" spans="1:6" ht="14.25">
      <c r="A1122" s="134">
        <v>37482</v>
      </c>
      <c r="B1122" s="111">
        <v>65.8845</v>
      </c>
      <c r="C1122" s="111">
        <f t="shared" si="18"/>
        <v>0.0658845</v>
      </c>
      <c r="D1122" s="111">
        <v>44.0865</v>
      </c>
      <c r="E1122" s="111">
        <v>44.9908</v>
      </c>
      <c r="F1122" s="132">
        <v>21088</v>
      </c>
    </row>
    <row r="1123" spans="1:6" ht="14.25">
      <c r="A1123" s="134">
        <v>37483</v>
      </c>
      <c r="B1123" s="111">
        <v>51.7746</v>
      </c>
      <c r="C1123" s="111">
        <f t="shared" si="18"/>
        <v>0.051774600000000004</v>
      </c>
      <c r="D1123" s="111">
        <v>34.9645</v>
      </c>
      <c r="E1123" s="111">
        <v>35.4718</v>
      </c>
      <c r="F1123" s="132">
        <v>20883</v>
      </c>
    </row>
    <row r="1124" spans="1:6" ht="14.25">
      <c r="A1124" s="134">
        <v>37484</v>
      </c>
      <c r="B1124" s="111">
        <v>61.0016</v>
      </c>
      <c r="C1124" s="111">
        <f t="shared" si="18"/>
        <v>0.0610016</v>
      </c>
      <c r="D1124" s="111">
        <v>40.7775</v>
      </c>
      <c r="E1124" s="111">
        <v>41.7076</v>
      </c>
      <c r="F1124" s="132">
        <v>15821</v>
      </c>
    </row>
    <row r="1125" spans="1:6" ht="14.25">
      <c r="A1125" s="134">
        <v>37487</v>
      </c>
      <c r="B1125" s="111">
        <v>64.6606</v>
      </c>
      <c r="C1125" s="111">
        <f t="shared" si="18"/>
        <v>0.0646606</v>
      </c>
      <c r="D1125" s="111">
        <v>43.3793</v>
      </c>
      <c r="E1125" s="111">
        <v>44.152</v>
      </c>
      <c r="F1125" s="132">
        <v>19629</v>
      </c>
    </row>
    <row r="1126" spans="1:6" ht="14.25">
      <c r="A1126" s="134">
        <v>37488</v>
      </c>
      <c r="B1126" s="111">
        <v>65.1583</v>
      </c>
      <c r="C1126" s="111">
        <f t="shared" si="18"/>
        <v>0.0651583</v>
      </c>
      <c r="D1126" s="111">
        <v>43.5143</v>
      </c>
      <c r="E1126" s="111">
        <v>44.4069</v>
      </c>
      <c r="F1126" s="132">
        <v>23104</v>
      </c>
    </row>
    <row r="1127" spans="1:6" ht="14.25">
      <c r="A1127" s="134">
        <v>37489</v>
      </c>
      <c r="B1127" s="111">
        <v>58.5103</v>
      </c>
      <c r="C1127" s="111">
        <f t="shared" si="18"/>
        <v>0.0585103</v>
      </c>
      <c r="D1127" s="111">
        <v>38.9909</v>
      </c>
      <c r="E1127" s="111">
        <v>39.8192</v>
      </c>
      <c r="F1127" s="132">
        <v>31377</v>
      </c>
    </row>
    <row r="1128" spans="1:6" ht="14.25">
      <c r="A1128" s="134">
        <v>37490</v>
      </c>
      <c r="B1128" s="111">
        <v>68.6554</v>
      </c>
      <c r="C1128" s="111">
        <f t="shared" si="18"/>
        <v>0.0686554</v>
      </c>
      <c r="D1128" s="111">
        <v>45.6176</v>
      </c>
      <c r="E1128" s="111">
        <v>46.7298</v>
      </c>
      <c r="F1128" s="132">
        <v>33621</v>
      </c>
    </row>
    <row r="1129" spans="1:6" ht="14.25">
      <c r="A1129" s="134">
        <v>37491</v>
      </c>
      <c r="B1129" s="111">
        <v>67.8145</v>
      </c>
      <c r="C1129" s="111">
        <f t="shared" si="18"/>
        <v>0.0678145</v>
      </c>
      <c r="D1129" s="111">
        <v>45.0989</v>
      </c>
      <c r="E1129" s="111">
        <v>46.1606</v>
      </c>
      <c r="F1129" s="132">
        <v>23894</v>
      </c>
    </row>
    <row r="1130" spans="1:6" ht="14.25">
      <c r="A1130" s="134">
        <v>37494</v>
      </c>
      <c r="B1130" s="111">
        <v>72.8742</v>
      </c>
      <c r="C1130" s="111">
        <f t="shared" si="18"/>
        <v>0.0728742</v>
      </c>
      <c r="D1130" s="111">
        <v>47.9938</v>
      </c>
      <c r="E1130" s="111">
        <v>49.4935</v>
      </c>
      <c r="F1130" s="132">
        <v>26682</v>
      </c>
    </row>
    <row r="1131" spans="1:6" ht="14.25">
      <c r="A1131" s="134">
        <v>37495</v>
      </c>
      <c r="B1131" s="111">
        <v>84.2691</v>
      </c>
      <c r="C1131" s="111">
        <f t="shared" si="18"/>
        <v>0.0842691</v>
      </c>
      <c r="D1131" s="111">
        <v>55.6157</v>
      </c>
      <c r="E1131" s="111">
        <v>57.3298</v>
      </c>
      <c r="F1131" s="132">
        <v>19145</v>
      </c>
    </row>
    <row r="1132" spans="1:6" ht="14.25">
      <c r="A1132" s="134">
        <v>37496</v>
      </c>
      <c r="B1132" s="111">
        <v>87.3769</v>
      </c>
      <c r="C1132" s="111">
        <f t="shared" si="18"/>
        <v>0.08737690000000001</v>
      </c>
      <c r="D1132" s="111">
        <v>58.1086</v>
      </c>
      <c r="E1132" s="111">
        <v>59.4522</v>
      </c>
      <c r="F1132" s="132">
        <v>27352</v>
      </c>
    </row>
    <row r="1133" spans="1:6" ht="14.25">
      <c r="A1133" s="134">
        <v>37497</v>
      </c>
      <c r="B1133" s="111">
        <v>95.6199</v>
      </c>
      <c r="C1133" s="111">
        <f t="shared" si="18"/>
        <v>0.09561990000000001</v>
      </c>
      <c r="D1133" s="111">
        <v>63.8897</v>
      </c>
      <c r="E1133" s="111">
        <v>65.021</v>
      </c>
      <c r="F1133" s="132">
        <v>27445</v>
      </c>
    </row>
    <row r="1134" spans="1:6" ht="14.25">
      <c r="A1134" s="134">
        <v>37498</v>
      </c>
      <c r="B1134" s="111">
        <v>98.7831</v>
      </c>
      <c r="C1134" s="111">
        <f t="shared" si="18"/>
        <v>0.09878310000000001</v>
      </c>
      <c r="D1134" s="111">
        <v>66.1354</v>
      </c>
      <c r="E1134" s="111">
        <v>67.1903</v>
      </c>
      <c r="F1134" s="132">
        <v>25418</v>
      </c>
    </row>
    <row r="1135" spans="1:6" ht="14.25">
      <c r="A1135" s="134">
        <v>37501</v>
      </c>
      <c r="B1135" s="111">
        <v>96.3814</v>
      </c>
      <c r="C1135" s="111">
        <f t="shared" si="18"/>
        <v>0.0963814</v>
      </c>
      <c r="D1135" s="111">
        <v>64.4969</v>
      </c>
      <c r="E1135" s="111">
        <v>65.5923</v>
      </c>
      <c r="F1135" s="132">
        <v>26082</v>
      </c>
    </row>
    <row r="1136" spans="1:6" ht="14.25">
      <c r="A1136" s="134">
        <v>37502</v>
      </c>
      <c r="B1136" s="111">
        <v>105.5798</v>
      </c>
      <c r="C1136" s="111">
        <f t="shared" si="18"/>
        <v>0.1055798</v>
      </c>
      <c r="D1136" s="111">
        <v>70.4703</v>
      </c>
      <c r="E1136" s="111">
        <v>71.7547</v>
      </c>
      <c r="F1136" s="132">
        <v>27120</v>
      </c>
    </row>
    <row r="1137" spans="1:6" ht="14.25">
      <c r="A1137" s="134">
        <v>37503</v>
      </c>
      <c r="B1137" s="111">
        <v>102.654</v>
      </c>
      <c r="C1137" s="111">
        <f t="shared" si="18"/>
        <v>0.102654</v>
      </c>
      <c r="D1137" s="111">
        <v>69.2136</v>
      </c>
      <c r="E1137" s="111">
        <v>69.8422</v>
      </c>
      <c r="F1137" s="132">
        <v>33873</v>
      </c>
    </row>
    <row r="1138" spans="1:6" ht="14.25">
      <c r="A1138" s="134">
        <v>37504</v>
      </c>
      <c r="B1138" s="111">
        <v>89.6019</v>
      </c>
      <c r="C1138" s="111">
        <f t="shared" si="18"/>
        <v>0.0896019</v>
      </c>
      <c r="D1138" s="111">
        <v>60.8542</v>
      </c>
      <c r="E1138" s="111">
        <v>61.1784</v>
      </c>
      <c r="F1138" s="132">
        <v>26904</v>
      </c>
    </row>
    <row r="1139" spans="1:6" ht="14.25">
      <c r="A1139" s="134">
        <v>37505</v>
      </c>
      <c r="B1139" s="111">
        <v>95.4578</v>
      </c>
      <c r="C1139" s="111">
        <f t="shared" si="18"/>
        <v>0.09545780000000001</v>
      </c>
      <c r="D1139" s="111">
        <v>65.2991</v>
      </c>
      <c r="E1139" s="111">
        <v>65.4628</v>
      </c>
      <c r="F1139" s="132">
        <v>25436</v>
      </c>
    </row>
    <row r="1140" spans="1:6" ht="14.25">
      <c r="A1140" s="134">
        <v>37508</v>
      </c>
      <c r="B1140" s="111">
        <v>95.5833</v>
      </c>
      <c r="C1140" s="111">
        <f t="shared" si="18"/>
        <v>0.0955833</v>
      </c>
      <c r="D1140" s="111">
        <v>64.9757</v>
      </c>
      <c r="E1140" s="111">
        <v>65.5129</v>
      </c>
      <c r="F1140" s="132">
        <v>24222</v>
      </c>
    </row>
    <row r="1141" spans="1:6" ht="14.25">
      <c r="A1141" s="134">
        <v>37509</v>
      </c>
      <c r="B1141" s="111">
        <v>95.9351</v>
      </c>
      <c r="C1141" s="111">
        <f t="shared" si="18"/>
        <v>0.09593510000000001</v>
      </c>
      <c r="D1141" s="111">
        <v>64.4613</v>
      </c>
      <c r="E1141" s="111">
        <v>65.8171</v>
      </c>
      <c r="F1141" s="132">
        <v>35146</v>
      </c>
    </row>
    <row r="1142" spans="1:6" ht="14.25">
      <c r="A1142" s="134">
        <v>37510</v>
      </c>
      <c r="B1142" s="111">
        <v>100.4093</v>
      </c>
      <c r="C1142" s="111">
        <f t="shared" si="18"/>
        <v>0.1004093</v>
      </c>
      <c r="D1142" s="111">
        <v>67.1091</v>
      </c>
      <c r="E1142" s="111">
        <v>68.7594</v>
      </c>
      <c r="F1142" s="132">
        <v>24282</v>
      </c>
    </row>
    <row r="1143" spans="1:6" ht="14.25">
      <c r="A1143" s="134">
        <v>37511</v>
      </c>
      <c r="B1143" s="111">
        <v>95.8064</v>
      </c>
      <c r="C1143" s="111">
        <f t="shared" si="18"/>
        <v>0.0958064</v>
      </c>
      <c r="D1143" s="111">
        <v>63.8688</v>
      </c>
      <c r="E1143" s="111">
        <v>65.5131</v>
      </c>
      <c r="F1143" s="132">
        <v>20754</v>
      </c>
    </row>
    <row r="1144" spans="1:6" ht="14.25">
      <c r="A1144" s="134">
        <v>37512</v>
      </c>
      <c r="B1144" s="111">
        <v>94.8039</v>
      </c>
      <c r="C1144" s="111">
        <f t="shared" si="18"/>
        <v>0.0948039</v>
      </c>
      <c r="D1144" s="111">
        <v>63.1142</v>
      </c>
      <c r="E1144" s="111">
        <v>64.6861</v>
      </c>
      <c r="F1144" s="132">
        <v>28442</v>
      </c>
    </row>
    <row r="1145" spans="1:6" ht="14.25">
      <c r="A1145" s="134">
        <v>37515</v>
      </c>
      <c r="B1145" s="111">
        <v>94.9132</v>
      </c>
      <c r="C1145" s="111">
        <f t="shared" si="18"/>
        <v>0.0949132</v>
      </c>
      <c r="D1145" s="111">
        <v>63.4306</v>
      </c>
      <c r="E1145" s="111">
        <v>64.6591</v>
      </c>
      <c r="F1145" s="132">
        <v>23687</v>
      </c>
    </row>
    <row r="1146" spans="1:6" ht="14.25">
      <c r="A1146" s="134">
        <v>37516</v>
      </c>
      <c r="B1146" s="111">
        <v>95.2599</v>
      </c>
      <c r="C1146" s="111">
        <f t="shared" si="18"/>
        <v>0.09525990000000001</v>
      </c>
      <c r="D1146" s="111">
        <v>62.8168</v>
      </c>
      <c r="E1146" s="111">
        <v>64.8733</v>
      </c>
      <c r="F1146" s="132">
        <v>26923</v>
      </c>
    </row>
    <row r="1147" spans="1:6" ht="14.25">
      <c r="A1147" s="134">
        <v>37517</v>
      </c>
      <c r="B1147" s="111">
        <v>96.1373</v>
      </c>
      <c r="C1147" s="111">
        <f t="shared" si="18"/>
        <v>0.0961373</v>
      </c>
      <c r="D1147" s="111">
        <v>63.0311</v>
      </c>
      <c r="E1147" s="111">
        <v>65.324</v>
      </c>
      <c r="F1147" s="132">
        <v>25516</v>
      </c>
    </row>
    <row r="1148" spans="1:6" ht="14.25">
      <c r="A1148" s="134">
        <v>37518</v>
      </c>
      <c r="B1148" s="111">
        <v>105.9036</v>
      </c>
      <c r="C1148" s="111">
        <f t="shared" si="18"/>
        <v>0.1059036</v>
      </c>
      <c r="D1148" s="111">
        <v>70.1098</v>
      </c>
      <c r="E1148" s="111">
        <v>72.0923</v>
      </c>
      <c r="F1148" s="132">
        <v>23647</v>
      </c>
    </row>
    <row r="1149" spans="1:6" ht="14.25">
      <c r="A1149" s="134">
        <v>37519</v>
      </c>
      <c r="B1149" s="111">
        <v>112.5241</v>
      </c>
      <c r="C1149" s="111">
        <f t="shared" si="18"/>
        <v>0.1125241</v>
      </c>
      <c r="D1149" s="111">
        <v>75.2359</v>
      </c>
      <c r="E1149" s="111">
        <v>76.6618</v>
      </c>
      <c r="F1149" s="132">
        <v>9787</v>
      </c>
    </row>
    <row r="1150" spans="1:6" ht="14.25">
      <c r="A1150" s="134">
        <v>37522</v>
      </c>
      <c r="B1150" s="111">
        <v>92.1232</v>
      </c>
      <c r="C1150" s="111">
        <f t="shared" si="18"/>
        <v>0.0921232</v>
      </c>
      <c r="D1150" s="111">
        <v>61.5118</v>
      </c>
      <c r="E1150" s="111">
        <v>62.8312</v>
      </c>
      <c r="F1150" s="132">
        <v>15635</v>
      </c>
    </row>
    <row r="1151" spans="1:6" ht="14.25">
      <c r="A1151" s="134">
        <v>37523</v>
      </c>
      <c r="B1151" s="111">
        <v>107.4964</v>
      </c>
      <c r="C1151" s="111">
        <f t="shared" si="18"/>
        <v>0.10749639999999999</v>
      </c>
      <c r="D1151" s="111">
        <v>72.2053</v>
      </c>
      <c r="E1151" s="111">
        <v>73.4466</v>
      </c>
      <c r="F1151" s="132">
        <v>22117</v>
      </c>
    </row>
    <row r="1152" spans="1:6" ht="14.25">
      <c r="A1152" s="134">
        <v>37524</v>
      </c>
      <c r="B1152" s="111">
        <v>94.779</v>
      </c>
      <c r="C1152" s="111">
        <f t="shared" si="18"/>
        <v>0.094779</v>
      </c>
      <c r="D1152" s="111">
        <v>63.6871</v>
      </c>
      <c r="E1152" s="111">
        <v>64.8017</v>
      </c>
      <c r="F1152" s="132">
        <v>22613</v>
      </c>
    </row>
    <row r="1153" spans="1:6" ht="14.25">
      <c r="A1153" s="134">
        <v>37525</v>
      </c>
      <c r="B1153" s="111">
        <v>93.464</v>
      </c>
      <c r="C1153" s="111">
        <f t="shared" si="18"/>
        <v>0.093464</v>
      </c>
      <c r="D1153" s="111">
        <v>62.3582</v>
      </c>
      <c r="E1153" s="111">
        <v>63.8197</v>
      </c>
      <c r="F1153" s="132">
        <v>35876</v>
      </c>
    </row>
    <row r="1154" spans="1:6" ht="14.25">
      <c r="A1154" s="134">
        <v>37526</v>
      </c>
      <c r="B1154" s="111">
        <v>97.6949</v>
      </c>
      <c r="C1154" s="111">
        <f t="shared" si="18"/>
        <v>0.0976949</v>
      </c>
      <c r="D1154" s="111">
        <v>65.3523</v>
      </c>
      <c r="E1154" s="111">
        <v>66.7133</v>
      </c>
      <c r="F1154" s="132">
        <v>29350</v>
      </c>
    </row>
    <row r="1155" spans="1:6" ht="14.25">
      <c r="A1155" s="134">
        <v>37529</v>
      </c>
      <c r="B1155" s="111">
        <v>94.1093</v>
      </c>
      <c r="C1155" s="111">
        <f t="shared" si="18"/>
        <v>0.0941093</v>
      </c>
      <c r="D1155" s="111">
        <v>62.7502</v>
      </c>
      <c r="E1155" s="111">
        <v>64.1683</v>
      </c>
      <c r="F1155" s="132">
        <v>18471</v>
      </c>
    </row>
    <row r="1156" spans="1:6" ht="14.25">
      <c r="A1156" s="134">
        <v>37530</v>
      </c>
      <c r="B1156" s="111">
        <v>81.6827</v>
      </c>
      <c r="C1156" s="111">
        <f t="shared" si="18"/>
        <v>0.0816827</v>
      </c>
      <c r="D1156" s="111">
        <v>55.1223</v>
      </c>
      <c r="E1156" s="111">
        <v>55.905</v>
      </c>
      <c r="F1156" s="132">
        <v>20247</v>
      </c>
    </row>
    <row r="1157" spans="1:6" ht="14.25">
      <c r="A1157" s="134">
        <v>37531</v>
      </c>
      <c r="B1157" s="111">
        <v>73.7201</v>
      </c>
      <c r="C1157" s="111">
        <f t="shared" si="18"/>
        <v>0.07372010000000001</v>
      </c>
      <c r="D1157" s="111">
        <v>49.8802</v>
      </c>
      <c r="E1157" s="111">
        <v>50.5833</v>
      </c>
      <c r="F1157" s="132">
        <v>17800</v>
      </c>
    </row>
    <row r="1158" spans="1:6" ht="14.25">
      <c r="A1158" s="134">
        <v>37533</v>
      </c>
      <c r="B1158" s="111">
        <v>62.2026</v>
      </c>
      <c r="C1158" s="111">
        <f t="shared" si="18"/>
        <v>0.0622026</v>
      </c>
      <c r="D1158" s="111">
        <v>42.1445</v>
      </c>
      <c r="E1158" s="111">
        <v>42.6133</v>
      </c>
      <c r="F1158" s="132">
        <v>17050</v>
      </c>
    </row>
    <row r="1159" spans="1:6" ht="14.25">
      <c r="A1159" s="134">
        <v>37536</v>
      </c>
      <c r="B1159" s="111">
        <v>67.8472</v>
      </c>
      <c r="C1159" s="111">
        <f aca="true" t="shared" si="19" ref="C1159:C1222">B1159*10^-3</f>
        <v>0.0678472</v>
      </c>
      <c r="D1159" s="111">
        <v>45.7869</v>
      </c>
      <c r="E1159" s="111">
        <v>46.4135</v>
      </c>
      <c r="F1159" s="132">
        <v>21458</v>
      </c>
    </row>
    <row r="1160" spans="1:6" ht="14.25">
      <c r="A1160" s="134">
        <v>37537</v>
      </c>
      <c r="B1160" s="111">
        <v>62.8631</v>
      </c>
      <c r="C1160" s="111">
        <f t="shared" si="19"/>
        <v>0.0628631</v>
      </c>
      <c r="D1160" s="111">
        <v>42.1696</v>
      </c>
      <c r="E1160" s="111">
        <v>42.9951</v>
      </c>
      <c r="F1160" s="132">
        <v>17939</v>
      </c>
    </row>
    <row r="1161" spans="1:6" ht="14.25">
      <c r="A1161" s="134">
        <v>37538</v>
      </c>
      <c r="B1161" s="111">
        <v>58.5093</v>
      </c>
      <c r="C1161" s="111">
        <f t="shared" si="19"/>
        <v>0.05850930000000001</v>
      </c>
      <c r="D1161" s="111">
        <v>39.0833</v>
      </c>
      <c r="E1161" s="111">
        <v>39.8809</v>
      </c>
      <c r="F1161" s="132">
        <v>20496</v>
      </c>
    </row>
    <row r="1162" spans="1:6" ht="14.25">
      <c r="A1162" s="134">
        <v>37539</v>
      </c>
      <c r="B1162" s="111">
        <v>56.7026</v>
      </c>
      <c r="C1162" s="111">
        <f t="shared" si="19"/>
        <v>0.0567026</v>
      </c>
      <c r="D1162" s="111">
        <v>37.9435</v>
      </c>
      <c r="E1162" s="111">
        <v>38.6626</v>
      </c>
      <c r="F1162" s="132">
        <v>20175</v>
      </c>
    </row>
    <row r="1163" spans="1:6" ht="14.25">
      <c r="A1163" s="134">
        <v>37540</v>
      </c>
      <c r="B1163" s="111">
        <v>51.5752</v>
      </c>
      <c r="C1163" s="111">
        <f t="shared" si="19"/>
        <v>0.0515752</v>
      </c>
      <c r="D1163" s="111">
        <v>34.8219</v>
      </c>
      <c r="E1163" s="111">
        <v>35.2627</v>
      </c>
      <c r="F1163" s="132">
        <v>17772</v>
      </c>
    </row>
    <row r="1164" spans="1:6" ht="14.25">
      <c r="A1164" s="134">
        <v>37543</v>
      </c>
      <c r="B1164" s="111">
        <v>54.4288</v>
      </c>
      <c r="C1164" s="111">
        <f t="shared" si="19"/>
        <v>0.054428800000000006</v>
      </c>
      <c r="D1164" s="111">
        <v>36.6565</v>
      </c>
      <c r="E1164" s="111">
        <v>37.1883</v>
      </c>
      <c r="F1164" s="132">
        <v>23971</v>
      </c>
    </row>
    <row r="1165" spans="1:6" ht="14.25">
      <c r="A1165" s="134">
        <v>37544</v>
      </c>
      <c r="B1165" s="111">
        <v>53.01</v>
      </c>
      <c r="C1165" s="111">
        <f t="shared" si="19"/>
        <v>0.05301</v>
      </c>
      <c r="D1165" s="111">
        <v>35.7932</v>
      </c>
      <c r="E1165" s="111">
        <v>36.2536</v>
      </c>
      <c r="F1165" s="132">
        <v>23252</v>
      </c>
    </row>
    <row r="1166" spans="1:6" ht="14.25">
      <c r="A1166" s="134">
        <v>37545</v>
      </c>
      <c r="B1166" s="111">
        <v>59.7858</v>
      </c>
      <c r="C1166" s="111">
        <f t="shared" si="19"/>
        <v>0.0597858</v>
      </c>
      <c r="D1166" s="111">
        <v>39.974</v>
      </c>
      <c r="E1166" s="111">
        <v>40.7483</v>
      </c>
      <c r="F1166" s="132">
        <v>18556</v>
      </c>
    </row>
    <row r="1167" spans="1:6" ht="14.25">
      <c r="A1167" s="134">
        <v>37546</v>
      </c>
      <c r="B1167" s="111">
        <v>53.64680099487305</v>
      </c>
      <c r="C1167" s="111">
        <f t="shared" si="19"/>
        <v>0.053646800994873046</v>
      </c>
      <c r="D1167" s="111">
        <v>35.894901275634766</v>
      </c>
      <c r="E1167" s="111">
        <v>36.54169845581055</v>
      </c>
      <c r="F1167" s="132">
        <v>25470</v>
      </c>
    </row>
    <row r="1168" spans="1:6" ht="14.25">
      <c r="A1168" s="134">
        <v>37547</v>
      </c>
      <c r="B1168" s="111">
        <v>54.10139846801758</v>
      </c>
      <c r="C1168" s="111">
        <f t="shared" si="19"/>
        <v>0.05410139846801758</v>
      </c>
      <c r="D1168" s="111">
        <v>36.00740051269531</v>
      </c>
      <c r="E1168" s="111">
        <v>36.881500244140625</v>
      </c>
      <c r="F1168" s="132">
        <v>22513</v>
      </c>
    </row>
    <row r="1169" spans="1:6" ht="14.25">
      <c r="A1169" s="134">
        <v>37550</v>
      </c>
      <c r="B1169" s="111">
        <v>53.95119857788086</v>
      </c>
      <c r="C1169" s="111">
        <f t="shared" si="19"/>
        <v>0.05395119857788086</v>
      </c>
      <c r="D1169" s="111">
        <v>35.772701263427734</v>
      </c>
      <c r="E1169" s="111">
        <v>36.746498107910156</v>
      </c>
      <c r="F1169" s="132">
        <v>14050</v>
      </c>
    </row>
    <row r="1170" spans="1:6" ht="14.25">
      <c r="A1170" s="134">
        <v>37551</v>
      </c>
      <c r="B1170" s="111">
        <v>48.575599670410156</v>
      </c>
      <c r="C1170" s="111">
        <f t="shared" si="19"/>
        <v>0.048575599670410155</v>
      </c>
      <c r="D1170" s="111">
        <v>32.22719955444336</v>
      </c>
      <c r="E1170" s="111">
        <v>33.060298919677734</v>
      </c>
      <c r="F1170" s="132">
        <v>17713</v>
      </c>
    </row>
    <row r="1171" spans="1:6" ht="14.25">
      <c r="A1171" s="134">
        <v>37552</v>
      </c>
      <c r="B1171" s="111">
        <v>46.49909973144531</v>
      </c>
      <c r="C1171" s="111">
        <f t="shared" si="19"/>
        <v>0.046499099731445316</v>
      </c>
      <c r="D1171" s="111">
        <v>30.912900924682617</v>
      </c>
      <c r="E1171" s="111">
        <v>31.6471004486084</v>
      </c>
      <c r="F1171" s="132">
        <v>20887</v>
      </c>
    </row>
    <row r="1172" spans="1:6" ht="14.25">
      <c r="A1172" s="134">
        <v>37553</v>
      </c>
      <c r="B1172" s="111">
        <v>42.5546989440918</v>
      </c>
      <c r="C1172" s="111">
        <f t="shared" si="19"/>
        <v>0.0425546989440918</v>
      </c>
      <c r="D1172" s="111">
        <v>28.370800018310547</v>
      </c>
      <c r="E1172" s="111">
        <v>29.023799896240234</v>
      </c>
      <c r="F1172" s="132">
        <v>14565</v>
      </c>
    </row>
    <row r="1173" spans="1:6" ht="14.25">
      <c r="A1173" s="134">
        <v>37554</v>
      </c>
      <c r="B1173" s="111">
        <v>42.45140075683594</v>
      </c>
      <c r="C1173" s="111">
        <f t="shared" si="19"/>
        <v>0.04245140075683594</v>
      </c>
      <c r="D1173" s="111">
        <v>28.1697998046875</v>
      </c>
      <c r="E1173" s="111">
        <v>28.92770004272461</v>
      </c>
      <c r="F1173" s="132">
        <v>16426</v>
      </c>
    </row>
    <row r="1174" spans="1:6" ht="14.25">
      <c r="A1174" s="134">
        <v>37557</v>
      </c>
      <c r="B1174" s="111">
        <v>48.186798095703125</v>
      </c>
      <c r="C1174" s="111">
        <f t="shared" si="19"/>
        <v>0.04818679809570313</v>
      </c>
      <c r="D1174" s="111">
        <v>32.08399963378906</v>
      </c>
      <c r="E1174" s="111">
        <v>32.86289978027344</v>
      </c>
      <c r="F1174" s="132">
        <v>13349</v>
      </c>
    </row>
    <row r="1175" spans="1:6" ht="14.25">
      <c r="A1175" s="134">
        <v>37558</v>
      </c>
      <c r="B1175" s="111">
        <v>51.31549835205078</v>
      </c>
      <c r="C1175" s="111">
        <f t="shared" si="19"/>
        <v>0.051315498352050785</v>
      </c>
      <c r="D1175" s="111">
        <v>34.064701080322266</v>
      </c>
      <c r="E1175" s="111">
        <v>34.95610046386719</v>
      </c>
      <c r="F1175" s="132">
        <v>19030</v>
      </c>
    </row>
    <row r="1176" spans="1:6" ht="14.25">
      <c r="A1176" s="134">
        <v>37559</v>
      </c>
      <c r="B1176" s="111">
        <v>55.15039825439453</v>
      </c>
      <c r="C1176" s="111">
        <f t="shared" si="19"/>
        <v>0.05515039825439453</v>
      </c>
      <c r="D1176" s="111">
        <v>36.95009994506836</v>
      </c>
      <c r="E1176" s="111">
        <v>37.62730026245117</v>
      </c>
      <c r="F1176" s="132">
        <v>31021</v>
      </c>
    </row>
    <row r="1177" spans="1:6" ht="14.25">
      <c r="A1177" s="134">
        <v>37560</v>
      </c>
      <c r="B1177" s="111">
        <v>52.23749923706055</v>
      </c>
      <c r="C1177" s="111">
        <f t="shared" si="19"/>
        <v>0.052237499237060545</v>
      </c>
      <c r="D1177" s="111">
        <v>35.035400390625</v>
      </c>
      <c r="E1177" s="111">
        <v>35.659400939941406</v>
      </c>
      <c r="F1177" s="132">
        <v>15321</v>
      </c>
    </row>
    <row r="1178" spans="1:6" ht="14.25">
      <c r="A1178" s="134">
        <v>37561</v>
      </c>
      <c r="B1178" s="111">
        <v>36.35540008544922</v>
      </c>
      <c r="C1178" s="111">
        <f t="shared" si="19"/>
        <v>0.03635540008544922</v>
      </c>
      <c r="D1178" s="111">
        <v>24.506900787353516</v>
      </c>
      <c r="E1178" s="111">
        <v>24.84480094909668</v>
      </c>
      <c r="F1178" s="132">
        <v>29867</v>
      </c>
    </row>
    <row r="1179" spans="1:6" ht="14.25">
      <c r="A1179" s="134">
        <v>37564</v>
      </c>
      <c r="B1179" s="111">
        <v>56.26580047607422</v>
      </c>
      <c r="C1179" s="111">
        <f t="shared" si="19"/>
        <v>0.05626580047607422</v>
      </c>
      <c r="D1179" s="111">
        <v>38.422298431396484</v>
      </c>
      <c r="E1179" s="111">
        <v>38.52239990234375</v>
      </c>
      <c r="F1179" s="132">
        <v>15347</v>
      </c>
    </row>
    <row r="1180" spans="1:6" ht="14.25">
      <c r="A1180" s="134">
        <v>37565</v>
      </c>
      <c r="B1180" s="111">
        <v>55.67770004272461</v>
      </c>
      <c r="C1180" s="111">
        <f t="shared" si="19"/>
        <v>0.05567770004272461</v>
      </c>
      <c r="D1180" s="111">
        <v>37.83639907836914</v>
      </c>
      <c r="E1180" s="111">
        <v>38.049400329589844</v>
      </c>
      <c r="F1180" s="132">
        <v>18890</v>
      </c>
    </row>
    <row r="1181" spans="1:6" ht="14.25">
      <c r="A1181" s="134">
        <v>37566</v>
      </c>
      <c r="B1181" s="111">
        <v>54.24150085449219</v>
      </c>
      <c r="C1181" s="111">
        <f t="shared" si="19"/>
        <v>0.05424150085449219</v>
      </c>
      <c r="D1181" s="111">
        <v>37.207698822021484</v>
      </c>
      <c r="E1181" s="111">
        <v>37.11859893798828</v>
      </c>
      <c r="F1181" s="132">
        <v>13749</v>
      </c>
    </row>
    <row r="1182" spans="1:6" ht="14.25">
      <c r="A1182" s="134">
        <v>37567</v>
      </c>
      <c r="B1182" s="111">
        <v>54.9213981628418</v>
      </c>
      <c r="C1182" s="111">
        <f t="shared" si="19"/>
        <v>0.0549213981628418</v>
      </c>
      <c r="D1182" s="111">
        <v>37.36370086669922</v>
      </c>
      <c r="E1182" s="111">
        <v>37.532501220703125</v>
      </c>
      <c r="F1182" s="132">
        <v>11340</v>
      </c>
    </row>
    <row r="1183" spans="1:6" ht="14.25">
      <c r="A1183" s="134">
        <v>37568</v>
      </c>
      <c r="B1183" s="111">
        <v>50.697200775146484</v>
      </c>
      <c r="C1183" s="111">
        <f t="shared" si="19"/>
        <v>0.050697200775146486</v>
      </c>
      <c r="D1183" s="111">
        <v>34.67190170288086</v>
      </c>
      <c r="E1183" s="111">
        <v>34.626800537109375</v>
      </c>
      <c r="F1183" s="132">
        <v>18524</v>
      </c>
    </row>
    <row r="1184" spans="1:6" ht="14.25">
      <c r="A1184" s="134">
        <v>37571</v>
      </c>
      <c r="B1184" s="111">
        <v>47.020999908447266</v>
      </c>
      <c r="C1184" s="111">
        <f t="shared" si="19"/>
        <v>0.04702099990844727</v>
      </c>
      <c r="D1184" s="111">
        <v>32.47740173339844</v>
      </c>
      <c r="E1184" s="111">
        <v>32.13349914550781</v>
      </c>
      <c r="F1184" s="132">
        <v>19549</v>
      </c>
    </row>
    <row r="1185" spans="1:6" ht="14.25">
      <c r="A1185" s="134">
        <v>37572</v>
      </c>
      <c r="B1185" s="111">
        <v>46.109798431396484</v>
      </c>
      <c r="C1185" s="111">
        <f t="shared" si="19"/>
        <v>0.04610979843139649</v>
      </c>
      <c r="D1185" s="111">
        <v>31.91010093688965</v>
      </c>
      <c r="E1185" s="111">
        <v>31.51300048828125</v>
      </c>
      <c r="F1185" s="132">
        <v>14547</v>
      </c>
    </row>
    <row r="1186" spans="1:6" ht="14.25">
      <c r="A1186" s="134">
        <v>37573</v>
      </c>
      <c r="B1186" s="111">
        <v>51.96540069580078</v>
      </c>
      <c r="C1186" s="111">
        <f t="shared" si="19"/>
        <v>0.05196540069580078</v>
      </c>
      <c r="D1186" s="111">
        <v>35.84170150756836</v>
      </c>
      <c r="E1186" s="111">
        <v>35.55379867553711</v>
      </c>
      <c r="F1186" s="132">
        <v>20067</v>
      </c>
    </row>
    <row r="1187" spans="1:6" ht="14.25">
      <c r="A1187" s="134">
        <v>37574</v>
      </c>
      <c r="B1187" s="111">
        <v>51.78049850463867</v>
      </c>
      <c r="C1187" s="111">
        <f t="shared" si="19"/>
        <v>0.05178049850463867</v>
      </c>
      <c r="D1187" s="111">
        <v>35.62919998168945</v>
      </c>
      <c r="E1187" s="111">
        <v>35.38850021362305</v>
      </c>
      <c r="F1187" s="132">
        <v>17465</v>
      </c>
    </row>
    <row r="1188" spans="1:6" ht="14.25">
      <c r="A1188" s="134">
        <v>37575</v>
      </c>
      <c r="B1188" s="111">
        <v>46.17290115356445</v>
      </c>
      <c r="C1188" s="111">
        <f t="shared" si="19"/>
        <v>0.046172901153564455</v>
      </c>
      <c r="D1188" s="111">
        <v>31.814599990844727</v>
      </c>
      <c r="E1188" s="111">
        <v>31.515199661254883</v>
      </c>
      <c r="F1188" s="132">
        <v>15545</v>
      </c>
    </row>
    <row r="1189" spans="1:6" ht="14.25">
      <c r="A1189" s="134">
        <v>37578</v>
      </c>
      <c r="B1189" s="111">
        <v>45.157901763916016</v>
      </c>
      <c r="C1189" s="111">
        <f t="shared" si="19"/>
        <v>0.045157901763916014</v>
      </c>
      <c r="D1189" s="111">
        <v>30.884300231933594</v>
      </c>
      <c r="E1189" s="111">
        <v>30.795000076293945</v>
      </c>
      <c r="F1189" s="132">
        <v>14445</v>
      </c>
    </row>
    <row r="1190" spans="1:6" ht="14.25">
      <c r="A1190" s="134">
        <v>37579</v>
      </c>
      <c r="B1190" s="111">
        <v>40.07460021972656</v>
      </c>
      <c r="C1190" s="111">
        <f t="shared" si="19"/>
        <v>0.040074600219726565</v>
      </c>
      <c r="D1190" s="111">
        <v>27.483699798583984</v>
      </c>
      <c r="E1190" s="111">
        <v>27.30620002746582</v>
      </c>
      <c r="F1190" s="132">
        <v>24450</v>
      </c>
    </row>
    <row r="1191" spans="1:6" ht="14.25">
      <c r="A1191" s="134">
        <v>37580</v>
      </c>
      <c r="B1191" s="111">
        <v>40.30099868774414</v>
      </c>
      <c r="C1191" s="111">
        <f t="shared" si="19"/>
        <v>0.040300998687744144</v>
      </c>
      <c r="D1191" s="111">
        <v>27.794300079345703</v>
      </c>
      <c r="E1191" s="111">
        <v>27.451099395751953</v>
      </c>
      <c r="F1191" s="132">
        <v>21455</v>
      </c>
    </row>
    <row r="1192" spans="1:6" ht="14.25">
      <c r="A1192" s="134">
        <v>37581</v>
      </c>
      <c r="B1192" s="111">
        <v>39.2681999206543</v>
      </c>
      <c r="C1192" s="111">
        <f t="shared" si="19"/>
        <v>0.0392681999206543</v>
      </c>
      <c r="D1192" s="111">
        <v>26.80940055847168</v>
      </c>
      <c r="E1192" s="111">
        <v>26.75860023498535</v>
      </c>
      <c r="F1192" s="132">
        <v>28779</v>
      </c>
    </row>
    <row r="1193" spans="1:6" ht="14.25">
      <c r="A1193" s="134">
        <v>37582</v>
      </c>
      <c r="B1193" s="111">
        <v>36.71080017089844</v>
      </c>
      <c r="C1193" s="111">
        <f t="shared" si="19"/>
        <v>0.036710800170898436</v>
      </c>
      <c r="D1193" s="111">
        <v>25.080400466918945</v>
      </c>
      <c r="E1193" s="111">
        <v>24.995500564575195</v>
      </c>
      <c r="F1193" s="132">
        <v>18958</v>
      </c>
    </row>
    <row r="1194" spans="1:6" ht="14.25">
      <c r="A1194" s="134">
        <v>37585</v>
      </c>
      <c r="B1194" s="111">
        <v>37.365299224853516</v>
      </c>
      <c r="C1194" s="111">
        <f t="shared" si="19"/>
        <v>0.037365299224853515</v>
      </c>
      <c r="D1194" s="111">
        <v>25.448400497436523</v>
      </c>
      <c r="E1194" s="111">
        <v>25.387500762939453</v>
      </c>
      <c r="F1194" s="132">
        <v>25080</v>
      </c>
    </row>
    <row r="1195" spans="1:6" ht="14.25">
      <c r="A1195" s="134">
        <v>37586</v>
      </c>
      <c r="B1195" s="111">
        <v>43.756900787353516</v>
      </c>
      <c r="C1195" s="111">
        <f t="shared" si="19"/>
        <v>0.04375690078735352</v>
      </c>
      <c r="D1195" s="111">
        <v>29.39189910888672</v>
      </c>
      <c r="E1195" s="111">
        <v>29.673799514770508</v>
      </c>
      <c r="F1195" s="132">
        <v>23254</v>
      </c>
    </row>
    <row r="1196" spans="1:6" ht="14.25">
      <c r="A1196" s="134">
        <v>37587</v>
      </c>
      <c r="B1196" s="111">
        <v>44.0161018371582</v>
      </c>
      <c r="C1196" s="111">
        <f t="shared" si="19"/>
        <v>0.044016101837158206</v>
      </c>
      <c r="D1196" s="111">
        <v>29.600900650024414</v>
      </c>
      <c r="E1196" s="111">
        <v>29.869699478149414</v>
      </c>
      <c r="F1196" s="132">
        <v>27763</v>
      </c>
    </row>
    <row r="1197" spans="1:6" ht="14.25">
      <c r="A1197" s="134">
        <v>37588</v>
      </c>
      <c r="B1197" s="111">
        <v>43.114498138427734</v>
      </c>
      <c r="C1197" s="111">
        <f t="shared" si="19"/>
        <v>0.043114498138427736</v>
      </c>
      <c r="D1197" s="111">
        <v>29.003000259399414</v>
      </c>
      <c r="E1197" s="111">
        <v>29.216299057006836</v>
      </c>
      <c r="F1197" s="132">
        <v>25318</v>
      </c>
    </row>
    <row r="1198" spans="1:6" ht="14.25">
      <c r="A1198" s="134">
        <v>37589</v>
      </c>
      <c r="B1198" s="111">
        <v>43.0447998046875</v>
      </c>
      <c r="C1198" s="111">
        <f t="shared" si="19"/>
        <v>0.0430447998046875</v>
      </c>
      <c r="D1198" s="111">
        <v>28.998199462890625</v>
      </c>
      <c r="E1198" s="111">
        <v>29.190799713134766</v>
      </c>
      <c r="F1198" s="132">
        <v>20178</v>
      </c>
    </row>
    <row r="1199" spans="1:6" ht="14.25">
      <c r="A1199" s="134">
        <v>37592</v>
      </c>
      <c r="B1199" s="111">
        <v>47.689701080322266</v>
      </c>
      <c r="C1199" s="111">
        <f t="shared" si="19"/>
        <v>0.047689701080322264</v>
      </c>
      <c r="D1199" s="111">
        <v>32.08729934692383</v>
      </c>
      <c r="E1199" s="111">
        <v>32.32320022583008</v>
      </c>
      <c r="F1199" s="132">
        <v>19750</v>
      </c>
    </row>
    <row r="1200" spans="1:6" ht="14.25">
      <c r="A1200" s="134">
        <v>37593</v>
      </c>
      <c r="B1200" s="111">
        <v>51.778499603271484</v>
      </c>
      <c r="C1200" s="111">
        <f t="shared" si="19"/>
        <v>0.05177849960327149</v>
      </c>
      <c r="D1200" s="111">
        <v>34.595001220703125</v>
      </c>
      <c r="E1200" s="111">
        <v>35.04710006713867</v>
      </c>
      <c r="F1200" s="132">
        <v>26876</v>
      </c>
    </row>
    <row r="1201" spans="1:6" ht="14.25">
      <c r="A1201" s="134">
        <v>37594</v>
      </c>
      <c r="B1201" s="111">
        <v>60.18960189819336</v>
      </c>
      <c r="C1201" s="111">
        <f t="shared" si="19"/>
        <v>0.06018960189819336</v>
      </c>
      <c r="D1201" s="111">
        <v>40.75199890136719</v>
      </c>
      <c r="E1201" s="111">
        <v>40.88690185546875</v>
      </c>
      <c r="F1201" s="132">
        <v>21277</v>
      </c>
    </row>
    <row r="1202" spans="1:6" ht="14.25">
      <c r="A1202" s="134">
        <v>37595</v>
      </c>
      <c r="B1202" s="111">
        <v>56.924400329589844</v>
      </c>
      <c r="C1202" s="111">
        <f t="shared" si="19"/>
        <v>0.05692440032958984</v>
      </c>
      <c r="D1202" s="111">
        <v>38.738399505615234</v>
      </c>
      <c r="E1202" s="111">
        <v>38.668800354003906</v>
      </c>
      <c r="F1202" s="132">
        <v>24429</v>
      </c>
    </row>
    <row r="1203" spans="1:6" ht="14.25">
      <c r="A1203" s="134">
        <v>37596</v>
      </c>
      <c r="B1203" s="111">
        <v>48.98059844970703</v>
      </c>
      <c r="C1203" s="111">
        <f t="shared" si="19"/>
        <v>0.048980598449707036</v>
      </c>
      <c r="D1203" s="111">
        <v>33.22909927368164</v>
      </c>
      <c r="E1203" s="111">
        <v>33.25899887084961</v>
      </c>
      <c r="F1203" s="132">
        <v>17401</v>
      </c>
    </row>
    <row r="1204" spans="1:6" ht="14.25">
      <c r="A1204" s="134">
        <v>37599</v>
      </c>
      <c r="B1204" s="111">
        <v>60.75910186767578</v>
      </c>
      <c r="C1204" s="111">
        <f t="shared" si="19"/>
        <v>0.06075910186767578</v>
      </c>
      <c r="D1204" s="111">
        <v>41.30970001220703</v>
      </c>
      <c r="E1204" s="111">
        <v>41.28499984741211</v>
      </c>
      <c r="F1204" s="132">
        <v>21820</v>
      </c>
    </row>
    <row r="1205" spans="1:6" ht="14.25">
      <c r="A1205" s="134">
        <v>37600</v>
      </c>
      <c r="B1205" s="111">
        <v>64.95570373535156</v>
      </c>
      <c r="C1205" s="111">
        <f t="shared" si="19"/>
        <v>0.06495570373535156</v>
      </c>
      <c r="D1205" s="111">
        <v>44.48649978637695</v>
      </c>
      <c r="E1205" s="111">
        <v>44.07659912109375</v>
      </c>
      <c r="F1205" s="132">
        <v>26735</v>
      </c>
    </row>
    <row r="1206" spans="1:6" ht="14.25">
      <c r="A1206" s="134">
        <v>37601</v>
      </c>
      <c r="B1206" s="111">
        <v>67.37989807128906</v>
      </c>
      <c r="C1206" s="111">
        <f t="shared" si="19"/>
        <v>0.06737989807128907</v>
      </c>
      <c r="D1206" s="111">
        <v>46.232200622558594</v>
      </c>
      <c r="E1206" s="111">
        <v>45.724700927734375</v>
      </c>
      <c r="F1206" s="132">
        <v>27646</v>
      </c>
    </row>
    <row r="1207" spans="1:6" ht="14.25">
      <c r="A1207" s="134">
        <v>37602</v>
      </c>
      <c r="B1207" s="111">
        <v>70.18830108642578</v>
      </c>
      <c r="C1207" s="111">
        <f t="shared" si="19"/>
        <v>0.07018830108642578</v>
      </c>
      <c r="D1207" s="111">
        <v>47.93659973144531</v>
      </c>
      <c r="E1207" s="111">
        <v>47.61759948730469</v>
      </c>
      <c r="F1207" s="132">
        <v>21301</v>
      </c>
    </row>
    <row r="1208" spans="1:6" ht="14.25">
      <c r="A1208" s="134">
        <v>37603</v>
      </c>
      <c r="B1208" s="111">
        <v>66.75849914550781</v>
      </c>
      <c r="C1208" s="111">
        <f t="shared" si="19"/>
        <v>0.06675849914550781</v>
      </c>
      <c r="D1208" s="111">
        <v>45.910099029541016</v>
      </c>
      <c r="E1208" s="111">
        <v>45.204898834228516</v>
      </c>
      <c r="F1208" s="132">
        <v>27759</v>
      </c>
    </row>
    <row r="1209" spans="1:6" ht="14.25">
      <c r="A1209" s="134">
        <v>37606</v>
      </c>
      <c r="B1209" s="111">
        <v>66.29180145263672</v>
      </c>
      <c r="C1209" s="111">
        <f t="shared" si="19"/>
        <v>0.06629180145263672</v>
      </c>
      <c r="D1209" s="111">
        <v>45.88090133666992</v>
      </c>
      <c r="E1209" s="111">
        <v>44.88880157470703</v>
      </c>
      <c r="F1209" s="132">
        <v>19920</v>
      </c>
    </row>
    <row r="1210" spans="1:6" ht="14.25">
      <c r="A1210" s="134">
        <v>37607</v>
      </c>
      <c r="B1210" s="111">
        <v>62.91709899902344</v>
      </c>
      <c r="C1210" s="111">
        <f t="shared" si="19"/>
        <v>0.06291709899902344</v>
      </c>
      <c r="D1210" s="111">
        <v>43.50090026855469</v>
      </c>
      <c r="E1210" s="111">
        <v>42.597900390625</v>
      </c>
      <c r="F1210" s="132">
        <v>20177</v>
      </c>
    </row>
    <row r="1211" spans="1:6" ht="14.25">
      <c r="A1211" s="134">
        <v>37608</v>
      </c>
      <c r="B1211" s="111">
        <v>66.20249938964844</v>
      </c>
      <c r="C1211" s="111">
        <f t="shared" si="19"/>
        <v>0.06620249938964844</v>
      </c>
      <c r="D1211" s="111">
        <v>46.317501068115234</v>
      </c>
      <c r="E1211" s="111">
        <v>44.93790054321289</v>
      </c>
      <c r="F1211" s="132">
        <v>23619</v>
      </c>
    </row>
    <row r="1212" spans="1:6" ht="14.25">
      <c r="A1212" s="134">
        <v>37610</v>
      </c>
      <c r="B1212" s="111">
        <v>51.50299835205078</v>
      </c>
      <c r="C1212" s="111">
        <f t="shared" si="19"/>
        <v>0.051502998352050786</v>
      </c>
      <c r="D1212" s="111">
        <v>36.152400970458984</v>
      </c>
      <c r="E1212" s="111">
        <v>35.19169998168945</v>
      </c>
      <c r="F1212" s="132">
        <v>13991</v>
      </c>
    </row>
    <row r="1213" spans="1:6" ht="14.25">
      <c r="A1213" s="134">
        <v>37613</v>
      </c>
      <c r="B1213" s="111">
        <v>32.96879959106445</v>
      </c>
      <c r="C1213" s="111">
        <f t="shared" si="19"/>
        <v>0.032968799591064454</v>
      </c>
      <c r="D1213" s="111">
        <v>23.127099990844727</v>
      </c>
      <c r="E1213" s="111">
        <v>22.552000045776367</v>
      </c>
      <c r="F1213" s="132">
        <v>11169</v>
      </c>
    </row>
    <row r="1214" spans="1:6" ht="14.25">
      <c r="A1214" s="134">
        <v>37614</v>
      </c>
      <c r="B1214" s="111">
        <v>18.092599868774414</v>
      </c>
      <c r="C1214" s="111">
        <f t="shared" si="19"/>
        <v>0.018092599868774414</v>
      </c>
      <c r="D1214" s="111">
        <v>12.759099960327148</v>
      </c>
      <c r="E1214" s="111">
        <v>12.409199714660645</v>
      </c>
      <c r="F1214" s="132">
        <v>15473</v>
      </c>
    </row>
    <row r="1215" spans="1:6" ht="14.25">
      <c r="A1215" s="134">
        <v>37620</v>
      </c>
      <c r="B1215" s="111">
        <v>23.92919921875</v>
      </c>
      <c r="C1215" s="111">
        <f t="shared" si="19"/>
        <v>0.02392919921875</v>
      </c>
      <c r="D1215" s="111">
        <v>17.044599533081055</v>
      </c>
      <c r="E1215" s="111">
        <v>16.427000045776367</v>
      </c>
      <c r="F1215" s="132">
        <v>16469</v>
      </c>
    </row>
    <row r="1216" spans="1:6" ht="14.25">
      <c r="A1216" s="134">
        <v>37621</v>
      </c>
      <c r="B1216" s="111">
        <v>17.104000091552734</v>
      </c>
      <c r="C1216" s="111">
        <f t="shared" si="19"/>
        <v>0.017104000091552735</v>
      </c>
      <c r="D1216" s="111">
        <v>12.253100395202637</v>
      </c>
      <c r="E1216" s="111">
        <v>11.756999969482422</v>
      </c>
      <c r="F1216" s="132">
        <v>18699</v>
      </c>
    </row>
    <row r="1217" spans="1:6" ht="14.25">
      <c r="A1217" s="134">
        <v>37624</v>
      </c>
      <c r="B1217" s="111">
        <v>31.445100784301758</v>
      </c>
      <c r="C1217" s="111">
        <f t="shared" si="19"/>
        <v>0.03144510078430176</v>
      </c>
      <c r="D1217" s="111">
        <v>22.609800338745117</v>
      </c>
      <c r="E1217" s="111">
        <v>21.644500732421875</v>
      </c>
      <c r="F1217" s="132">
        <v>6603</v>
      </c>
    </row>
    <row r="1218" spans="1:6" ht="14.25">
      <c r="A1218" s="134">
        <v>37627</v>
      </c>
      <c r="B1218" s="111">
        <v>46.970699310302734</v>
      </c>
      <c r="C1218" s="111">
        <f t="shared" si="19"/>
        <v>0.04697069931030273</v>
      </c>
      <c r="D1218" s="111">
        <v>33.773101806640625</v>
      </c>
      <c r="E1218" s="111">
        <v>32.33110046386719</v>
      </c>
      <c r="F1218" s="132">
        <v>14952</v>
      </c>
    </row>
    <row r="1219" spans="1:6" ht="14.25">
      <c r="A1219" s="134">
        <v>37628</v>
      </c>
      <c r="B1219" s="111">
        <v>122.34200286865234</v>
      </c>
      <c r="C1219" s="111">
        <f t="shared" si="19"/>
        <v>0.12234200286865235</v>
      </c>
      <c r="D1219" s="111">
        <v>88.10880279541016</v>
      </c>
      <c r="E1219" s="111">
        <v>84.00910186767578</v>
      </c>
      <c r="F1219" s="132">
        <v>23626</v>
      </c>
    </row>
    <row r="1220" spans="1:6" ht="14.25">
      <c r="A1220" s="134">
        <v>37629</v>
      </c>
      <c r="B1220" s="111">
        <v>108.54299926757812</v>
      </c>
      <c r="C1220" s="111">
        <f t="shared" si="19"/>
        <v>0.10854299926757813</v>
      </c>
      <c r="D1220" s="111">
        <v>77.69029998779297</v>
      </c>
      <c r="E1220" s="111">
        <v>74.52310180664062</v>
      </c>
      <c r="F1220" s="132">
        <v>17099</v>
      </c>
    </row>
    <row r="1221" spans="1:6" ht="14.25">
      <c r="A1221" s="134">
        <v>37630</v>
      </c>
      <c r="B1221" s="111">
        <v>79.55709838867188</v>
      </c>
      <c r="C1221" s="111">
        <f t="shared" si="19"/>
        <v>0.07955709838867188</v>
      </c>
      <c r="D1221" s="111">
        <v>56.59980010986328</v>
      </c>
      <c r="E1221" s="111">
        <v>54.54349899291992</v>
      </c>
      <c r="F1221" s="132">
        <v>26601</v>
      </c>
    </row>
    <row r="1222" spans="1:6" ht="14.25">
      <c r="A1222" s="134">
        <v>37631</v>
      </c>
      <c r="B1222" s="111">
        <v>70.14510345458984</v>
      </c>
      <c r="C1222" s="111">
        <f t="shared" si="19"/>
        <v>0.07014510345458984</v>
      </c>
      <c r="D1222" s="111">
        <v>50.49079895019531</v>
      </c>
      <c r="E1222" s="111">
        <v>48.054500579833984</v>
      </c>
      <c r="F1222" s="132">
        <v>26364</v>
      </c>
    </row>
    <row r="1223" spans="1:6" ht="14.25">
      <c r="A1223" s="134">
        <v>37634</v>
      </c>
      <c r="B1223" s="111">
        <v>63.4370002746582</v>
      </c>
      <c r="C1223" s="111">
        <f aca="true" t="shared" si="20" ref="C1223:C1286">B1223*10^-3</f>
        <v>0.0634370002746582</v>
      </c>
      <c r="D1223" s="111">
        <v>45.62929916381836</v>
      </c>
      <c r="E1223" s="111">
        <v>43.44409942626953</v>
      </c>
      <c r="F1223" s="132">
        <v>23736</v>
      </c>
    </row>
    <row r="1224" spans="1:6" ht="14.25">
      <c r="A1224" s="134">
        <v>37635</v>
      </c>
      <c r="B1224" s="111">
        <v>55.19300079345703</v>
      </c>
      <c r="C1224" s="111">
        <f t="shared" si="20"/>
        <v>0.055193000793457035</v>
      </c>
      <c r="D1224" s="111">
        <v>39.843299865722656</v>
      </c>
      <c r="E1224" s="111">
        <v>37.769798278808594</v>
      </c>
      <c r="F1224" s="132">
        <v>22035</v>
      </c>
    </row>
    <row r="1225" spans="1:6" ht="14.25">
      <c r="A1225" s="134">
        <v>37636</v>
      </c>
      <c r="B1225" s="111">
        <v>48.40520095825195</v>
      </c>
      <c r="C1225" s="111">
        <f t="shared" si="20"/>
        <v>0.04840520095825195</v>
      </c>
      <c r="D1225" s="111">
        <v>35.01210021972656</v>
      </c>
      <c r="E1225" s="111">
        <v>33.10210037231445</v>
      </c>
      <c r="F1225" s="132">
        <v>30420</v>
      </c>
    </row>
    <row r="1226" spans="1:6" ht="14.25">
      <c r="A1226" s="134">
        <v>37637</v>
      </c>
      <c r="B1226" s="111">
        <v>44.8025016784668</v>
      </c>
      <c r="C1226" s="111">
        <f t="shared" si="20"/>
        <v>0.0448025016784668</v>
      </c>
      <c r="D1226" s="111">
        <v>32.22129821777344</v>
      </c>
      <c r="E1226" s="111">
        <v>30.6112003326416</v>
      </c>
      <c r="F1226" s="132">
        <v>26936</v>
      </c>
    </row>
    <row r="1227" spans="1:6" ht="14.25">
      <c r="A1227" s="134">
        <v>37641</v>
      </c>
      <c r="B1227" s="111">
        <v>47.01070022583008</v>
      </c>
      <c r="C1227" s="111">
        <f t="shared" si="20"/>
        <v>0.04701070022583008</v>
      </c>
      <c r="D1227" s="111">
        <v>34.303199768066406</v>
      </c>
      <c r="E1227" s="111">
        <v>32.20349884033203</v>
      </c>
      <c r="F1227" s="132">
        <v>22859</v>
      </c>
    </row>
    <row r="1228" spans="1:6" ht="14.25">
      <c r="A1228" s="134">
        <v>37642</v>
      </c>
      <c r="B1228" s="111">
        <v>50.94599914550781</v>
      </c>
      <c r="C1228" s="111">
        <f t="shared" si="20"/>
        <v>0.05094599914550781</v>
      </c>
      <c r="D1228" s="111">
        <v>37.152801513671875</v>
      </c>
      <c r="E1228" s="111">
        <v>34.87540054321289</v>
      </c>
      <c r="F1228" s="132">
        <v>26882</v>
      </c>
    </row>
    <row r="1229" spans="1:6" ht="14.25">
      <c r="A1229" s="134">
        <v>37643</v>
      </c>
      <c r="B1229" s="111">
        <v>53.04059982299805</v>
      </c>
      <c r="C1229" s="111">
        <f t="shared" si="20"/>
        <v>0.053040599822998045</v>
      </c>
      <c r="D1229" s="111">
        <v>38.664398193359375</v>
      </c>
      <c r="E1229" s="111">
        <v>36.29439926147461</v>
      </c>
      <c r="F1229" s="132">
        <v>24076</v>
      </c>
    </row>
    <row r="1230" spans="1:6" ht="14.25">
      <c r="A1230" s="134">
        <v>37644</v>
      </c>
      <c r="B1230" s="111">
        <v>50.33980178833008</v>
      </c>
      <c r="C1230" s="111">
        <f t="shared" si="20"/>
        <v>0.05033980178833008</v>
      </c>
      <c r="D1230" s="111">
        <v>36.89929962158203</v>
      </c>
      <c r="E1230" s="111">
        <v>34.427398681640625</v>
      </c>
      <c r="F1230" s="132">
        <v>27796</v>
      </c>
    </row>
    <row r="1231" spans="1:6" ht="14.25">
      <c r="A1231" s="134">
        <v>37645</v>
      </c>
      <c r="B1231" s="111">
        <v>52.21780014038086</v>
      </c>
      <c r="C1231" s="111">
        <f t="shared" si="20"/>
        <v>0.05221780014038086</v>
      </c>
      <c r="D1231" s="111">
        <v>38.381099700927734</v>
      </c>
      <c r="E1231" s="111">
        <v>35.68009948730469</v>
      </c>
      <c r="F1231" s="132">
        <v>24783</v>
      </c>
    </row>
    <row r="1232" spans="1:6" ht="14.25">
      <c r="A1232" s="134">
        <v>37648</v>
      </c>
      <c r="B1232" s="111">
        <v>48.45439910888672</v>
      </c>
      <c r="C1232" s="111">
        <f t="shared" si="20"/>
        <v>0.04845439910888672</v>
      </c>
      <c r="D1232" s="111">
        <v>35.62879943847656</v>
      </c>
      <c r="E1232" s="111">
        <v>33.03860092163086</v>
      </c>
      <c r="F1232" s="132">
        <v>15565</v>
      </c>
    </row>
    <row r="1233" spans="1:6" ht="14.25">
      <c r="A1233" s="134">
        <v>37650</v>
      </c>
      <c r="B1233" s="111">
        <v>48.387901306152344</v>
      </c>
      <c r="C1233" s="111">
        <f t="shared" si="20"/>
        <v>0.048387901306152344</v>
      </c>
      <c r="D1233" s="111">
        <v>35.59600067138672</v>
      </c>
      <c r="E1233" s="111">
        <v>32.934898376464844</v>
      </c>
      <c r="F1233" s="132">
        <v>27488</v>
      </c>
    </row>
    <row r="1234" spans="1:6" ht="14.25">
      <c r="A1234" s="134">
        <v>37651</v>
      </c>
      <c r="B1234" s="111">
        <v>55.13249969482422</v>
      </c>
      <c r="C1234" s="111">
        <f t="shared" si="20"/>
        <v>0.05513249969482422</v>
      </c>
      <c r="D1234" s="111">
        <v>40.82160186767578</v>
      </c>
      <c r="E1234" s="111">
        <v>37.56129837036133</v>
      </c>
      <c r="F1234" s="132">
        <v>25690</v>
      </c>
    </row>
    <row r="1235" spans="1:6" ht="14.25">
      <c r="A1235" s="134">
        <v>37655</v>
      </c>
      <c r="B1235" s="111">
        <v>55.057899475097656</v>
      </c>
      <c r="C1235" s="111">
        <f t="shared" si="20"/>
        <v>0.055057899475097656</v>
      </c>
      <c r="D1235" s="111">
        <v>40.5713005065918</v>
      </c>
      <c r="E1235" s="111">
        <v>37.510501861572266</v>
      </c>
      <c r="F1235" s="132">
        <v>25556</v>
      </c>
    </row>
    <row r="1236" spans="1:6" ht="14.25">
      <c r="A1236" s="134">
        <v>37656</v>
      </c>
      <c r="B1236" s="111">
        <v>59.419898986816406</v>
      </c>
      <c r="C1236" s="111">
        <f t="shared" si="20"/>
        <v>0.059419898986816405</v>
      </c>
      <c r="D1236" s="111">
        <v>43.41569900512695</v>
      </c>
      <c r="E1236" s="111">
        <v>40.4656982421875</v>
      </c>
      <c r="F1236" s="132">
        <v>32789</v>
      </c>
    </row>
    <row r="1237" spans="1:6" ht="14.25">
      <c r="A1237" s="134">
        <v>37657</v>
      </c>
      <c r="B1237" s="111">
        <v>61.23030090332031</v>
      </c>
      <c r="C1237" s="111">
        <f t="shared" si="20"/>
        <v>0.061230300903320316</v>
      </c>
      <c r="D1237" s="111">
        <v>45.160099029541016</v>
      </c>
      <c r="E1237" s="111">
        <v>41.72990036010742</v>
      </c>
      <c r="F1237" s="132">
        <v>27542</v>
      </c>
    </row>
    <row r="1238" spans="1:6" ht="14.25">
      <c r="A1238" s="134">
        <v>37658</v>
      </c>
      <c r="B1238" s="111">
        <v>75.01850128173828</v>
      </c>
      <c r="C1238" s="111">
        <f t="shared" si="20"/>
        <v>0.07501850128173829</v>
      </c>
      <c r="D1238" s="111">
        <v>55.80609893798828</v>
      </c>
      <c r="E1238" s="111">
        <v>51.15129852294922</v>
      </c>
      <c r="F1238" s="132">
        <v>24938</v>
      </c>
    </row>
    <row r="1239" spans="1:6" ht="14.25">
      <c r="A1239" s="134">
        <v>37662</v>
      </c>
      <c r="B1239" s="111">
        <v>50.57040023803711</v>
      </c>
      <c r="C1239" s="111">
        <f t="shared" si="20"/>
        <v>0.05057040023803711</v>
      </c>
      <c r="D1239" s="111">
        <v>37.199501037597656</v>
      </c>
      <c r="E1239" s="111">
        <v>34.47909927368164</v>
      </c>
      <c r="F1239" s="132">
        <v>20220</v>
      </c>
    </row>
    <row r="1240" spans="1:6" ht="14.25">
      <c r="A1240" s="134">
        <v>37663</v>
      </c>
      <c r="B1240" s="111">
        <v>61.78850173950195</v>
      </c>
      <c r="C1240" s="111">
        <f t="shared" si="20"/>
        <v>0.061788501739501955</v>
      </c>
      <c r="D1240" s="111">
        <v>45.55939865112305</v>
      </c>
      <c r="E1240" s="111">
        <v>42.15340042114258</v>
      </c>
      <c r="F1240" s="132">
        <v>20057</v>
      </c>
    </row>
    <row r="1241" spans="1:6" ht="14.25">
      <c r="A1241" s="134">
        <v>37664</v>
      </c>
      <c r="B1241" s="111">
        <v>67.3864974975586</v>
      </c>
      <c r="C1241" s="111">
        <f t="shared" si="20"/>
        <v>0.0673864974975586</v>
      </c>
      <c r="D1241" s="111">
        <v>49.18119812011719</v>
      </c>
      <c r="E1241" s="111">
        <v>45.9379997253418</v>
      </c>
      <c r="F1241" s="132">
        <v>21608</v>
      </c>
    </row>
    <row r="1242" spans="1:6" ht="14.25">
      <c r="A1242" s="134">
        <v>37665</v>
      </c>
      <c r="B1242" s="111">
        <v>74.82440185546875</v>
      </c>
      <c r="C1242" s="111">
        <f t="shared" si="20"/>
        <v>0.07482440185546875</v>
      </c>
      <c r="D1242" s="111">
        <v>54.71860122680664</v>
      </c>
      <c r="E1242" s="111">
        <v>50.9911003112793</v>
      </c>
      <c r="F1242" s="132">
        <v>19210</v>
      </c>
    </row>
    <row r="1243" spans="1:6" ht="14.25">
      <c r="A1243" s="134">
        <v>37666</v>
      </c>
      <c r="B1243" s="111">
        <v>77.38870239257812</v>
      </c>
      <c r="C1243" s="111">
        <f t="shared" si="20"/>
        <v>0.07738870239257813</v>
      </c>
      <c r="D1243" s="111">
        <v>56.682098388671875</v>
      </c>
      <c r="E1243" s="111">
        <v>52.68840026855469</v>
      </c>
      <c r="F1243" s="132">
        <v>10672</v>
      </c>
    </row>
    <row r="1244" spans="1:6" ht="14.25">
      <c r="A1244" s="134">
        <v>37669</v>
      </c>
      <c r="B1244" s="111">
        <v>81.29889678955078</v>
      </c>
      <c r="C1244" s="111">
        <f t="shared" si="20"/>
        <v>0.08129889678955078</v>
      </c>
      <c r="D1244" s="111">
        <v>59.72359848022461</v>
      </c>
      <c r="E1244" s="111">
        <v>55.33549880981445</v>
      </c>
      <c r="F1244" s="132">
        <v>13311</v>
      </c>
    </row>
    <row r="1245" spans="1:6" ht="14.25">
      <c r="A1245" s="134">
        <v>37670</v>
      </c>
      <c r="B1245" s="111">
        <v>96.79889678955078</v>
      </c>
      <c r="C1245" s="111">
        <f t="shared" si="20"/>
        <v>0.09679889678955078</v>
      </c>
      <c r="D1245" s="111">
        <v>70.4446029663086</v>
      </c>
      <c r="E1245" s="111">
        <v>65.73780059814453</v>
      </c>
      <c r="F1245" s="132">
        <v>9105</v>
      </c>
    </row>
    <row r="1246" spans="1:6" ht="14.25">
      <c r="A1246" s="134">
        <v>37671</v>
      </c>
      <c r="B1246" s="111">
        <v>85.6061019897461</v>
      </c>
      <c r="C1246" s="111">
        <f t="shared" si="20"/>
        <v>0.0856061019897461</v>
      </c>
      <c r="D1246" s="111">
        <v>62.389198303222656</v>
      </c>
      <c r="E1246" s="111">
        <v>58.23149871826172</v>
      </c>
      <c r="F1246" s="132">
        <v>15037</v>
      </c>
    </row>
    <row r="1247" spans="1:6" ht="14.25">
      <c r="A1247" s="134">
        <v>37672</v>
      </c>
      <c r="B1247" s="111">
        <v>98.73519897460938</v>
      </c>
      <c r="C1247" s="111">
        <f t="shared" si="20"/>
        <v>0.09873519897460938</v>
      </c>
      <c r="D1247" s="111">
        <v>71.8750991821289</v>
      </c>
      <c r="E1247" s="111">
        <v>67.06639862060547</v>
      </c>
      <c r="F1247" s="132">
        <v>20328</v>
      </c>
    </row>
    <row r="1248" spans="1:6" ht="14.25">
      <c r="A1248" s="134">
        <v>37673</v>
      </c>
      <c r="B1248" s="111">
        <v>76.8822021484375</v>
      </c>
      <c r="C1248" s="111">
        <f t="shared" si="20"/>
        <v>0.0768822021484375</v>
      </c>
      <c r="D1248" s="111">
        <v>56.26459884643555</v>
      </c>
      <c r="E1248" s="111">
        <v>52.275901794433594</v>
      </c>
      <c r="F1248" s="132">
        <v>22472</v>
      </c>
    </row>
    <row r="1249" spans="1:6" ht="14.25">
      <c r="A1249" s="134" t="s">
        <v>781</v>
      </c>
      <c r="B1249" s="111">
        <v>64.98059844970703</v>
      </c>
      <c r="C1249" s="111">
        <f t="shared" si="20"/>
        <v>0.06498059844970704</v>
      </c>
      <c r="D1249" s="111">
        <v>47.99700164794922</v>
      </c>
      <c r="E1249" s="111">
        <v>44.28580093383789</v>
      </c>
      <c r="F1249" s="132">
        <v>15978</v>
      </c>
    </row>
    <row r="1250" spans="1:6" ht="14.25">
      <c r="A1250" s="134" t="s">
        <v>782</v>
      </c>
      <c r="B1250" s="111">
        <v>79.54850006103516</v>
      </c>
      <c r="C1250" s="111">
        <f t="shared" si="20"/>
        <v>0.07954850006103516</v>
      </c>
      <c r="D1250" s="111">
        <v>58.04790115356445</v>
      </c>
      <c r="E1250" s="111">
        <v>54.144100189208984</v>
      </c>
      <c r="F1250" s="132">
        <v>15809</v>
      </c>
    </row>
    <row r="1251" spans="1:6" ht="14.25">
      <c r="A1251" s="134" t="s">
        <v>783</v>
      </c>
      <c r="B1251" s="111">
        <v>75.50630187988281</v>
      </c>
      <c r="C1251" s="111">
        <f t="shared" si="20"/>
        <v>0.07550630187988282</v>
      </c>
      <c r="D1251" s="111">
        <v>55.53310012817383</v>
      </c>
      <c r="E1251" s="111">
        <v>51.543701171875</v>
      </c>
      <c r="F1251" s="132">
        <v>11440</v>
      </c>
    </row>
    <row r="1252" spans="1:6" ht="14.25">
      <c r="A1252" s="134" t="s">
        <v>784</v>
      </c>
      <c r="B1252" s="111">
        <v>63.180599212646484</v>
      </c>
      <c r="C1252" s="111">
        <f t="shared" si="20"/>
        <v>0.06318059921264649</v>
      </c>
      <c r="D1252" s="111">
        <v>46.49470138549805</v>
      </c>
      <c r="E1252" s="111">
        <v>43.23889923095703</v>
      </c>
      <c r="F1252" s="132">
        <v>24289</v>
      </c>
    </row>
    <row r="1253" spans="1:6" ht="14.25">
      <c r="A1253" s="134" t="s">
        <v>785</v>
      </c>
      <c r="B1253" s="111">
        <v>64.043701171875</v>
      </c>
      <c r="C1253" s="111">
        <f t="shared" si="20"/>
        <v>0.064043701171875</v>
      </c>
      <c r="D1253" s="111">
        <v>47.3739013671875</v>
      </c>
      <c r="E1253" s="111">
        <v>43.77560043334961</v>
      </c>
      <c r="F1253" s="132">
        <v>18282</v>
      </c>
    </row>
    <row r="1254" spans="1:6" ht="14.25">
      <c r="A1254" s="134" t="s">
        <v>786</v>
      </c>
      <c r="B1254" s="111">
        <v>63.05500030517578</v>
      </c>
      <c r="C1254" s="111">
        <f t="shared" si="20"/>
        <v>0.06305500030517579</v>
      </c>
      <c r="D1254" s="111">
        <v>46.4734001159668</v>
      </c>
      <c r="E1254" s="111">
        <v>43.10279846191406</v>
      </c>
      <c r="F1254" s="132">
        <v>21545</v>
      </c>
    </row>
    <row r="1255" spans="1:6" ht="14.25">
      <c r="A1255" s="134" t="s">
        <v>787</v>
      </c>
      <c r="B1255" s="111">
        <v>59.18539810180664</v>
      </c>
      <c r="C1255" s="111">
        <f t="shared" si="20"/>
        <v>0.05918539810180664</v>
      </c>
      <c r="D1255" s="111">
        <v>43.718101501464844</v>
      </c>
      <c r="E1255" s="111">
        <v>40.479698181152344</v>
      </c>
      <c r="F1255" s="132">
        <v>23595</v>
      </c>
    </row>
    <row r="1256" spans="1:6" ht="14.25">
      <c r="A1256" s="134" t="s">
        <v>788</v>
      </c>
      <c r="B1256" s="111">
        <v>62.70669937133789</v>
      </c>
      <c r="C1256" s="111">
        <f t="shared" si="20"/>
        <v>0.0627066993713379</v>
      </c>
      <c r="D1256" s="111">
        <v>46.91299819946289</v>
      </c>
      <c r="E1256" s="111">
        <v>42.964500427246094</v>
      </c>
      <c r="F1256" s="132">
        <v>22687</v>
      </c>
    </row>
    <row r="1257" spans="1:6" ht="14.25">
      <c r="A1257" s="134" t="s">
        <v>789</v>
      </c>
      <c r="B1257" s="111">
        <v>59.349098205566406</v>
      </c>
      <c r="C1257" s="111">
        <f t="shared" si="20"/>
        <v>0.05934909820556641</v>
      </c>
      <c r="D1257" s="111">
        <v>44.607398986816406</v>
      </c>
      <c r="E1257" s="111">
        <v>40.67789840698242</v>
      </c>
      <c r="F1257" s="132">
        <v>26137</v>
      </c>
    </row>
    <row r="1258" spans="1:6" ht="14.25">
      <c r="A1258" s="134" t="s">
        <v>790</v>
      </c>
      <c r="B1258" s="111">
        <v>57.490699768066406</v>
      </c>
      <c r="C1258" s="111">
        <f t="shared" si="20"/>
        <v>0.05749069976806641</v>
      </c>
      <c r="D1258" s="111">
        <v>43.051300048828125</v>
      </c>
      <c r="E1258" s="111">
        <v>39.26959991455078</v>
      </c>
      <c r="F1258" s="132">
        <v>23320</v>
      </c>
    </row>
    <row r="1259" spans="1:6" ht="14.25">
      <c r="A1259" s="134" t="s">
        <v>791</v>
      </c>
      <c r="B1259" s="111">
        <v>54.78329849243164</v>
      </c>
      <c r="C1259" s="111">
        <f t="shared" si="20"/>
        <v>0.054783298492431645</v>
      </c>
      <c r="D1259" s="111">
        <v>41.27159881591797</v>
      </c>
      <c r="E1259" s="111">
        <v>37.38710021972656</v>
      </c>
      <c r="F1259" s="132">
        <v>28768</v>
      </c>
    </row>
    <row r="1260" spans="1:6" ht="14.25">
      <c r="A1260" s="134" t="s">
        <v>792</v>
      </c>
      <c r="B1260" s="111">
        <v>57.8406982421875</v>
      </c>
      <c r="C1260" s="111">
        <f t="shared" si="20"/>
        <v>0.0578406982421875</v>
      </c>
      <c r="D1260" s="111">
        <v>43.488800048828125</v>
      </c>
      <c r="E1260" s="111">
        <v>39.3848991394043</v>
      </c>
      <c r="F1260" s="132">
        <v>18831</v>
      </c>
    </row>
    <row r="1261" spans="1:6" ht="14.25">
      <c r="A1261" s="134" t="s">
        <v>793</v>
      </c>
      <c r="B1261" s="111">
        <v>55.577598571777344</v>
      </c>
      <c r="C1261" s="111">
        <f t="shared" si="20"/>
        <v>0.05557759857177735</v>
      </c>
      <c r="D1261" s="111">
        <v>41.99399948120117</v>
      </c>
      <c r="E1261" s="111">
        <v>37.900699615478516</v>
      </c>
      <c r="F1261" s="132">
        <v>21298</v>
      </c>
    </row>
    <row r="1262" spans="1:6" ht="14.25">
      <c r="A1262" s="134" t="s">
        <v>794</v>
      </c>
      <c r="B1262" s="111">
        <v>59.104000091552734</v>
      </c>
      <c r="C1262" s="111">
        <f t="shared" si="20"/>
        <v>0.059104000091552734</v>
      </c>
      <c r="D1262" s="111">
        <v>44.41859817504883</v>
      </c>
      <c r="E1262" s="111">
        <v>40.27799987792969</v>
      </c>
      <c r="F1262" s="132">
        <v>17397</v>
      </c>
    </row>
    <row r="1263" spans="1:6" ht="14.25">
      <c r="A1263" s="134" t="s">
        <v>795</v>
      </c>
      <c r="B1263" s="111">
        <v>60.189998626708984</v>
      </c>
      <c r="C1263" s="111">
        <f t="shared" si="20"/>
        <v>0.060189998626708985</v>
      </c>
      <c r="D1263" s="111">
        <v>44.5166015625</v>
      </c>
      <c r="E1263" s="111">
        <v>40.976200103759766</v>
      </c>
      <c r="F1263" s="132">
        <v>24652</v>
      </c>
    </row>
    <row r="1264" spans="1:6" ht="14.25">
      <c r="A1264" s="134" t="s">
        <v>796</v>
      </c>
      <c r="B1264" s="111">
        <v>57.30329895019531</v>
      </c>
      <c r="C1264" s="111">
        <f t="shared" si="20"/>
        <v>0.057303298950195314</v>
      </c>
      <c r="D1264" s="111">
        <v>42.06869888305664</v>
      </c>
      <c r="E1264" s="111">
        <v>39.04290008544922</v>
      </c>
      <c r="F1264" s="132">
        <v>13249</v>
      </c>
    </row>
    <row r="1265" spans="1:6" ht="14.25">
      <c r="A1265" s="134" t="s">
        <v>797</v>
      </c>
      <c r="B1265" s="111">
        <v>57.86349868774414</v>
      </c>
      <c r="C1265" s="111">
        <f t="shared" si="20"/>
        <v>0.05786349868774414</v>
      </c>
      <c r="D1265" s="111">
        <v>42.59989929199219</v>
      </c>
      <c r="E1265" s="111">
        <v>39.44070053100586</v>
      </c>
      <c r="F1265" s="132">
        <v>21209</v>
      </c>
    </row>
    <row r="1266" spans="1:6" ht="14.25">
      <c r="A1266" s="134" t="s">
        <v>798</v>
      </c>
      <c r="B1266" s="111">
        <v>56.17129898071289</v>
      </c>
      <c r="C1266" s="111">
        <f t="shared" si="20"/>
        <v>0.056171298980712894</v>
      </c>
      <c r="D1266" s="111">
        <v>40.412498474121094</v>
      </c>
      <c r="E1266" s="111">
        <v>38.17539978027344</v>
      </c>
      <c r="F1266" s="132">
        <v>21052</v>
      </c>
    </row>
    <row r="1267" spans="1:6" ht="14.25">
      <c r="A1267" s="134" t="s">
        <v>799</v>
      </c>
      <c r="B1267" s="111">
        <v>55.31809997558594</v>
      </c>
      <c r="C1267" s="111">
        <f t="shared" si="20"/>
        <v>0.05531809997558594</v>
      </c>
      <c r="D1267" s="111">
        <v>39.7411994934082</v>
      </c>
      <c r="E1267" s="111">
        <v>37.59809875488281</v>
      </c>
      <c r="F1267" s="132">
        <v>23839</v>
      </c>
    </row>
    <row r="1268" spans="1:6" ht="14.25">
      <c r="A1268" s="134" t="s">
        <v>800</v>
      </c>
      <c r="B1268" s="111">
        <v>52.055599212646484</v>
      </c>
      <c r="C1268" s="111">
        <f t="shared" si="20"/>
        <v>0.052055599212646485</v>
      </c>
      <c r="D1268" s="111">
        <v>37.47269821166992</v>
      </c>
      <c r="E1268" s="111">
        <v>35.378299713134766</v>
      </c>
      <c r="F1268" s="132">
        <v>24191</v>
      </c>
    </row>
    <row r="1269" spans="1:6" ht="14.25">
      <c r="A1269" s="134" t="s">
        <v>801</v>
      </c>
      <c r="B1269" s="111">
        <v>50.86309814453125</v>
      </c>
      <c r="C1269" s="111">
        <f t="shared" si="20"/>
        <v>0.05086309814453125</v>
      </c>
      <c r="D1269" s="111">
        <v>36.44110107421875</v>
      </c>
      <c r="E1269" s="111">
        <v>34.469398498535156</v>
      </c>
      <c r="F1269" s="132">
        <v>31675</v>
      </c>
    </row>
    <row r="1270" spans="1:6" ht="14.25">
      <c r="A1270" s="134" t="s">
        <v>802</v>
      </c>
      <c r="B1270" s="111">
        <v>50.48619842529297</v>
      </c>
      <c r="C1270" s="111">
        <f t="shared" si="20"/>
        <v>0.05048619842529297</v>
      </c>
      <c r="D1270" s="111">
        <v>36.39799880981445</v>
      </c>
      <c r="E1270" s="111">
        <v>34.227901458740234</v>
      </c>
      <c r="F1270" s="132">
        <v>25735</v>
      </c>
    </row>
    <row r="1271" spans="1:6" ht="14.25">
      <c r="A1271" s="134" t="s">
        <v>803</v>
      </c>
      <c r="B1271" s="111">
        <v>53.2755012512207</v>
      </c>
      <c r="C1271" s="111">
        <f t="shared" si="20"/>
        <v>0.05327550125122071</v>
      </c>
      <c r="D1271" s="111">
        <v>38.69350051879883</v>
      </c>
      <c r="E1271" s="111">
        <v>36.19260025024414</v>
      </c>
      <c r="F1271" s="132">
        <v>14916</v>
      </c>
    </row>
    <row r="1272" spans="1:6" ht="14.25">
      <c r="A1272" s="134" t="s">
        <v>804</v>
      </c>
      <c r="B1272" s="111">
        <v>50.6328010559082</v>
      </c>
      <c r="C1272" s="111">
        <f t="shared" si="20"/>
        <v>0.05063280105590821</v>
      </c>
      <c r="D1272" s="111">
        <v>36.6442985534668</v>
      </c>
      <c r="E1272" s="111">
        <v>34.352901458740234</v>
      </c>
      <c r="F1272" s="132">
        <v>33123</v>
      </c>
    </row>
    <row r="1273" spans="1:6" ht="14.25">
      <c r="A1273" s="134" t="s">
        <v>805</v>
      </c>
      <c r="B1273" s="111">
        <v>47.48469924926758</v>
      </c>
      <c r="C1273" s="111">
        <f t="shared" si="20"/>
        <v>0.04748469924926758</v>
      </c>
      <c r="D1273" s="111">
        <v>34.4202995300293</v>
      </c>
      <c r="E1273" s="111">
        <v>32.0994987487793</v>
      </c>
      <c r="F1273" s="132">
        <v>29582</v>
      </c>
    </row>
    <row r="1274" spans="1:6" ht="14.25">
      <c r="A1274" s="134" t="s">
        <v>806</v>
      </c>
      <c r="B1274" s="111">
        <v>44.77299880981445</v>
      </c>
      <c r="C1274" s="111">
        <f t="shared" si="20"/>
        <v>0.04477299880981445</v>
      </c>
      <c r="D1274" s="111">
        <v>32.53519821166992</v>
      </c>
      <c r="E1274" s="111">
        <v>30.321699142456055</v>
      </c>
      <c r="F1274" s="132">
        <v>25148</v>
      </c>
    </row>
    <row r="1275" spans="1:6" ht="14.25">
      <c r="A1275" s="134" t="s">
        <v>807</v>
      </c>
      <c r="B1275" s="111">
        <v>41.10179901123047</v>
      </c>
      <c r="C1275" s="111">
        <f t="shared" si="20"/>
        <v>0.04110179901123047</v>
      </c>
      <c r="D1275" s="111">
        <v>30.330799102783203</v>
      </c>
      <c r="E1275" s="111">
        <v>27.83919906616211</v>
      </c>
      <c r="F1275" s="132">
        <v>21773</v>
      </c>
    </row>
    <row r="1276" spans="1:6" ht="14.25">
      <c r="A1276" s="134" t="s">
        <v>808</v>
      </c>
      <c r="B1276" s="111">
        <v>46.13100051879883</v>
      </c>
      <c r="C1276" s="111">
        <f t="shared" si="20"/>
        <v>0.04613100051879883</v>
      </c>
      <c r="D1276" s="111">
        <v>34.02040100097656</v>
      </c>
      <c r="E1276" s="111">
        <v>31.23710060119629</v>
      </c>
      <c r="F1276" s="132">
        <v>14767</v>
      </c>
    </row>
    <row r="1277" spans="1:6" ht="14.25">
      <c r="A1277" s="134" t="s">
        <v>809</v>
      </c>
      <c r="B1277" s="111">
        <v>52.012699127197266</v>
      </c>
      <c r="C1277" s="111">
        <f t="shared" si="20"/>
        <v>0.05201269912719727</v>
      </c>
      <c r="D1277" s="111">
        <v>37.99129867553711</v>
      </c>
      <c r="E1277" s="111">
        <v>35.0797004699707</v>
      </c>
      <c r="F1277" s="132">
        <v>18026</v>
      </c>
    </row>
    <row r="1278" spans="1:6" ht="14.25">
      <c r="A1278" s="134" t="s">
        <v>810</v>
      </c>
      <c r="B1278" s="111">
        <v>47.621498107910156</v>
      </c>
      <c r="C1278" s="111">
        <f t="shared" si="20"/>
        <v>0.04762149810791016</v>
      </c>
      <c r="D1278" s="111">
        <v>34.310298919677734</v>
      </c>
      <c r="E1278" s="111">
        <v>32.05970001220703</v>
      </c>
      <c r="F1278" s="132">
        <v>24101</v>
      </c>
    </row>
    <row r="1279" spans="1:6" ht="14.25">
      <c r="A1279" s="134" t="s">
        <v>811</v>
      </c>
      <c r="B1279" s="111">
        <v>45.10940170288086</v>
      </c>
      <c r="C1279" s="111">
        <f t="shared" si="20"/>
        <v>0.04510940170288086</v>
      </c>
      <c r="D1279" s="111">
        <v>32.53099822998047</v>
      </c>
      <c r="E1279" s="111">
        <v>30.34600067138672</v>
      </c>
      <c r="F1279" s="132">
        <v>26433</v>
      </c>
    </row>
    <row r="1280" spans="1:6" ht="14.25">
      <c r="A1280" s="134" t="s">
        <v>812</v>
      </c>
      <c r="B1280" s="111">
        <v>50.233299255371094</v>
      </c>
      <c r="C1280" s="111">
        <f t="shared" si="20"/>
        <v>0.050233299255371094</v>
      </c>
      <c r="D1280" s="111">
        <v>35.740501403808594</v>
      </c>
      <c r="E1280" s="111">
        <v>33.77479934692383</v>
      </c>
      <c r="F1280" s="132">
        <v>22890</v>
      </c>
    </row>
    <row r="1281" spans="1:6" ht="14.25">
      <c r="A1281" s="134" t="s">
        <v>813</v>
      </c>
      <c r="B1281" s="111">
        <v>53.42919921875</v>
      </c>
      <c r="C1281" s="111">
        <f t="shared" si="20"/>
        <v>0.05342919921875</v>
      </c>
      <c r="D1281" s="111">
        <v>38.3306999206543</v>
      </c>
      <c r="E1281" s="111">
        <v>35.95750045776367</v>
      </c>
      <c r="F1281" s="132">
        <v>28787</v>
      </c>
    </row>
    <row r="1282" spans="1:6" ht="14.25">
      <c r="A1282" s="134" t="s">
        <v>814</v>
      </c>
      <c r="B1282" s="111">
        <v>58.385101318359375</v>
      </c>
      <c r="C1282" s="111">
        <f t="shared" si="20"/>
        <v>0.058385101318359375</v>
      </c>
      <c r="D1282" s="111">
        <v>42.15439987182617</v>
      </c>
      <c r="E1282" s="111">
        <v>39.24259948730469</v>
      </c>
      <c r="F1282" s="132">
        <v>17198</v>
      </c>
    </row>
    <row r="1283" spans="1:6" ht="14.25">
      <c r="A1283" s="134" t="s">
        <v>815</v>
      </c>
      <c r="B1283" s="111">
        <v>57.10329818725586</v>
      </c>
      <c r="C1283" s="111">
        <f t="shared" si="20"/>
        <v>0.05710329818725586</v>
      </c>
      <c r="D1283" s="111">
        <v>41.2765007019043</v>
      </c>
      <c r="E1283" s="111">
        <v>38.20130157470703</v>
      </c>
      <c r="F1283" s="132">
        <v>26213</v>
      </c>
    </row>
    <row r="1284" spans="1:6" ht="14.25">
      <c r="A1284" s="134" t="s">
        <v>816</v>
      </c>
      <c r="B1284" s="111">
        <v>50.74509811401367</v>
      </c>
      <c r="C1284" s="111">
        <f t="shared" si="20"/>
        <v>0.050745098114013676</v>
      </c>
      <c r="D1284" s="111">
        <v>36.37969970703125</v>
      </c>
      <c r="E1284" s="111">
        <v>33.88880157470703</v>
      </c>
      <c r="F1284" s="132">
        <v>22234</v>
      </c>
    </row>
    <row r="1285" spans="1:6" ht="14.25">
      <c r="A1285" s="134" t="s">
        <v>817</v>
      </c>
      <c r="B1285" s="111">
        <v>48.08190155029297</v>
      </c>
      <c r="C1285" s="111">
        <f t="shared" si="20"/>
        <v>0.04808190155029297</v>
      </c>
      <c r="D1285" s="111">
        <v>34.495201110839844</v>
      </c>
      <c r="E1285" s="111">
        <v>32.127498626708984</v>
      </c>
      <c r="F1285" s="132">
        <v>16845</v>
      </c>
    </row>
    <row r="1286" spans="1:6" ht="14.25">
      <c r="A1286" s="134" t="s">
        <v>818</v>
      </c>
      <c r="B1286" s="111">
        <v>51.87120056152344</v>
      </c>
      <c r="C1286" s="111">
        <f t="shared" si="20"/>
        <v>0.05187120056152344</v>
      </c>
      <c r="D1286" s="111">
        <v>37.29439926147461</v>
      </c>
      <c r="E1286" s="111">
        <v>34.583099365234375</v>
      </c>
      <c r="F1286" s="132">
        <v>10630</v>
      </c>
    </row>
    <row r="1287" spans="1:6" ht="14.25">
      <c r="A1287" s="134" t="s">
        <v>819</v>
      </c>
      <c r="B1287" s="111">
        <v>50.63130187988281</v>
      </c>
      <c r="C1287" s="111">
        <f aca="true" t="shared" si="21" ref="C1287:C1350">B1287*10^-3</f>
        <v>0.050631301879882816</v>
      </c>
      <c r="D1287" s="111">
        <v>36.524898529052734</v>
      </c>
      <c r="E1287" s="111">
        <v>33.707000732421875</v>
      </c>
      <c r="F1287" s="132">
        <v>20843</v>
      </c>
    </row>
    <row r="1288" spans="1:6" ht="14.25">
      <c r="A1288" s="134" t="s">
        <v>820</v>
      </c>
      <c r="B1288" s="111">
        <v>41.052398681640625</v>
      </c>
      <c r="C1288" s="111">
        <f t="shared" si="21"/>
        <v>0.04105239868164062</v>
      </c>
      <c r="D1288" s="111">
        <v>29.890100479125977</v>
      </c>
      <c r="E1288" s="111">
        <v>27.37190055847168</v>
      </c>
      <c r="F1288" s="132">
        <v>12676</v>
      </c>
    </row>
    <row r="1289" spans="1:6" ht="14.25">
      <c r="A1289" s="134" t="s">
        <v>821</v>
      </c>
      <c r="B1289" s="111">
        <v>54.84400177001953</v>
      </c>
      <c r="C1289" s="111">
        <f t="shared" si="21"/>
        <v>0.05484400177001953</v>
      </c>
      <c r="D1289" s="111">
        <v>39.95840072631836</v>
      </c>
      <c r="E1289" s="111">
        <v>36.42179870605469</v>
      </c>
      <c r="F1289" s="132">
        <v>13115</v>
      </c>
    </row>
    <row r="1290" spans="1:6" ht="14.25">
      <c r="A1290" s="134" t="s">
        <v>822</v>
      </c>
      <c r="B1290" s="111">
        <v>54.730899810791016</v>
      </c>
      <c r="C1290" s="111">
        <f t="shared" si="21"/>
        <v>0.05473089981079102</v>
      </c>
      <c r="D1290" s="111">
        <v>39.751399993896484</v>
      </c>
      <c r="E1290" s="111">
        <v>36.322601318359375</v>
      </c>
      <c r="F1290" s="132">
        <v>14611</v>
      </c>
    </row>
    <row r="1291" spans="1:6" ht="14.25">
      <c r="A1291" s="134" t="s">
        <v>823</v>
      </c>
      <c r="B1291" s="111">
        <v>44.182701110839844</v>
      </c>
      <c r="C1291" s="111">
        <f t="shared" si="21"/>
        <v>0.04418270111083984</v>
      </c>
      <c r="D1291" s="111">
        <v>32.30580139160156</v>
      </c>
      <c r="E1291" s="111">
        <v>29.34749984741211</v>
      </c>
      <c r="F1291" s="132">
        <v>17045</v>
      </c>
    </row>
    <row r="1292" spans="1:6" ht="14.25">
      <c r="A1292" s="134" t="s">
        <v>824</v>
      </c>
      <c r="B1292" s="111">
        <v>54.0177001953125</v>
      </c>
      <c r="C1292" s="111">
        <f t="shared" si="21"/>
        <v>0.054017700195312504</v>
      </c>
      <c r="D1292" s="111">
        <v>39.46049880981445</v>
      </c>
      <c r="E1292" s="111">
        <v>35.96139907836914</v>
      </c>
      <c r="F1292" s="132">
        <v>14897</v>
      </c>
    </row>
    <row r="1293" spans="1:6" ht="14.25">
      <c r="A1293" s="134" t="s">
        <v>825</v>
      </c>
      <c r="B1293" s="111">
        <v>49.1963996887207</v>
      </c>
      <c r="C1293" s="111">
        <f t="shared" si="21"/>
        <v>0.04919639968872071</v>
      </c>
      <c r="D1293" s="111">
        <v>36.06560134887695</v>
      </c>
      <c r="E1293" s="111">
        <v>32.712501525878906</v>
      </c>
      <c r="F1293" s="132">
        <v>28935</v>
      </c>
    </row>
    <row r="1294" spans="1:6" ht="14.25">
      <c r="A1294" s="134" t="s">
        <v>826</v>
      </c>
      <c r="B1294" s="111">
        <v>46.56740188598633</v>
      </c>
      <c r="C1294" s="111">
        <f t="shared" si="21"/>
        <v>0.04656740188598633</v>
      </c>
      <c r="D1294" s="111">
        <v>33.84360122680664</v>
      </c>
      <c r="E1294" s="111">
        <v>30.890499114990234</v>
      </c>
      <c r="F1294" s="132">
        <v>26403</v>
      </c>
    </row>
    <row r="1295" spans="1:6" ht="14.25">
      <c r="A1295" s="134" t="s">
        <v>827</v>
      </c>
      <c r="B1295" s="111">
        <v>40.10390090942383</v>
      </c>
      <c r="C1295" s="111">
        <f t="shared" si="21"/>
        <v>0.040103900909423826</v>
      </c>
      <c r="D1295" s="111">
        <v>18.155099868774414</v>
      </c>
      <c r="E1295" s="111">
        <v>16.310400009155273</v>
      </c>
      <c r="F1295" s="132">
        <v>14520</v>
      </c>
    </row>
    <row r="1296" spans="1:6" ht="14.25">
      <c r="A1296" s="134" t="s">
        <v>828</v>
      </c>
      <c r="B1296" s="111">
        <v>45.234100341796875</v>
      </c>
      <c r="C1296" s="111">
        <f t="shared" si="21"/>
        <v>0.045234100341796875</v>
      </c>
      <c r="D1296" s="111">
        <v>33.659000396728516</v>
      </c>
      <c r="E1296" s="111">
        <v>29.948400497436523</v>
      </c>
      <c r="F1296" s="132">
        <v>8169</v>
      </c>
    </row>
    <row r="1297" spans="1:6" ht="14.25">
      <c r="A1297" s="134" t="s">
        <v>829</v>
      </c>
      <c r="B1297" s="111">
        <v>51.37139892578125</v>
      </c>
      <c r="C1297" s="111">
        <f t="shared" si="21"/>
        <v>0.05137139892578125</v>
      </c>
      <c r="D1297" s="111">
        <v>38.078800201416016</v>
      </c>
      <c r="E1297" s="111">
        <v>33.944400787353516</v>
      </c>
      <c r="F1297" s="132">
        <v>22530</v>
      </c>
    </row>
    <row r="1298" spans="1:6" ht="14.25">
      <c r="A1298" s="134" t="s">
        <v>830</v>
      </c>
      <c r="B1298" s="111">
        <v>53.041099548339844</v>
      </c>
      <c r="C1298" s="111">
        <f t="shared" si="21"/>
        <v>0.05304109954833985</v>
      </c>
      <c r="D1298" s="111">
        <v>39.7318000793457</v>
      </c>
      <c r="E1298" s="111">
        <v>35.02450180053711</v>
      </c>
      <c r="F1298" s="132">
        <v>22509</v>
      </c>
    </row>
    <row r="1299" spans="1:6" ht="14.25">
      <c r="A1299" s="134" t="s">
        <v>831</v>
      </c>
      <c r="B1299" s="111">
        <v>51.37139892578125</v>
      </c>
      <c r="C1299" s="111">
        <f t="shared" si="21"/>
        <v>0.05137139892578125</v>
      </c>
      <c r="D1299" s="111">
        <v>0</v>
      </c>
      <c r="E1299" s="111">
        <v>31.399799346923828</v>
      </c>
      <c r="F1299" s="132">
        <v>0</v>
      </c>
    </row>
    <row r="1300" spans="1:6" ht="14.25">
      <c r="A1300" s="134" t="s">
        <v>832</v>
      </c>
      <c r="B1300" s="111">
        <v>48.90290069580078</v>
      </c>
      <c r="C1300" s="111">
        <f t="shared" si="21"/>
        <v>0.048902900695800784</v>
      </c>
      <c r="D1300" s="111">
        <v>37.16630172729492</v>
      </c>
      <c r="E1300" s="111">
        <v>32.50230026245117</v>
      </c>
      <c r="F1300" s="132">
        <v>27044</v>
      </c>
    </row>
    <row r="1301" spans="1:6" ht="14.25">
      <c r="A1301" s="134" t="s">
        <v>833</v>
      </c>
      <c r="B1301" s="111">
        <v>44.1869010925293</v>
      </c>
      <c r="C1301" s="111">
        <f t="shared" si="21"/>
        <v>0.0441869010925293</v>
      </c>
      <c r="D1301" s="111">
        <v>33.610599517822266</v>
      </c>
      <c r="E1301" s="111">
        <v>29.31329917907715</v>
      </c>
      <c r="F1301" s="132">
        <v>16536</v>
      </c>
    </row>
    <row r="1302" spans="1:6" ht="14.25">
      <c r="A1302" s="134" t="s">
        <v>834</v>
      </c>
      <c r="B1302" s="111">
        <v>54.404701232910156</v>
      </c>
      <c r="C1302" s="111">
        <f t="shared" si="21"/>
        <v>0.054404701232910156</v>
      </c>
      <c r="D1302" s="111">
        <v>41.692501068115234</v>
      </c>
      <c r="E1302" s="111">
        <v>35.95109939575195</v>
      </c>
      <c r="F1302" s="132">
        <v>32662</v>
      </c>
    </row>
    <row r="1303" spans="1:6" ht="14.25">
      <c r="A1303" s="134" t="s">
        <v>835</v>
      </c>
      <c r="B1303" s="111">
        <v>52.969600677490234</v>
      </c>
      <c r="C1303" s="111">
        <f t="shared" si="21"/>
        <v>0.052969600677490236</v>
      </c>
      <c r="D1303" s="111">
        <v>40.23099899291992</v>
      </c>
      <c r="E1303" s="111">
        <v>34.92879867553711</v>
      </c>
      <c r="F1303" s="132">
        <v>23855</v>
      </c>
    </row>
    <row r="1304" spans="1:6" ht="14.25">
      <c r="A1304" s="134" t="s">
        <v>836</v>
      </c>
      <c r="B1304" s="111">
        <v>52.97570037841797</v>
      </c>
      <c r="C1304" s="111">
        <f t="shared" si="21"/>
        <v>0.05297570037841797</v>
      </c>
      <c r="D1304" s="111">
        <v>40.26490020751953</v>
      </c>
      <c r="E1304" s="111">
        <v>35.01599884033203</v>
      </c>
      <c r="F1304" s="132">
        <v>14530</v>
      </c>
    </row>
    <row r="1305" spans="1:6" ht="14.25">
      <c r="A1305" s="134" t="s">
        <v>837</v>
      </c>
      <c r="B1305" s="111">
        <v>49.739601135253906</v>
      </c>
      <c r="C1305" s="111">
        <f t="shared" si="21"/>
        <v>0.04973960113525391</v>
      </c>
      <c r="D1305" s="111">
        <v>37.73529815673828</v>
      </c>
      <c r="E1305" s="111">
        <v>32.93360137939453</v>
      </c>
      <c r="F1305" s="132">
        <v>18418</v>
      </c>
    </row>
    <row r="1306" spans="1:6" ht="14.25">
      <c r="A1306" s="134" t="s">
        <v>838</v>
      </c>
      <c r="B1306" s="111">
        <v>57.34600067138672</v>
      </c>
      <c r="C1306" s="111">
        <f t="shared" si="21"/>
        <v>0.05734600067138672</v>
      </c>
      <c r="D1306" s="111">
        <v>43.71900177001953</v>
      </c>
      <c r="E1306" s="111">
        <v>38.042999267578125</v>
      </c>
      <c r="F1306" s="132">
        <v>19492</v>
      </c>
    </row>
    <row r="1307" spans="1:6" ht="14.25">
      <c r="A1307" s="134" t="s">
        <v>839</v>
      </c>
      <c r="B1307" s="111">
        <v>47.50389862060547</v>
      </c>
      <c r="C1307" s="111">
        <f t="shared" si="21"/>
        <v>0.04750389862060547</v>
      </c>
      <c r="D1307" s="111">
        <v>36.2156982421875</v>
      </c>
      <c r="E1307" s="111">
        <v>31.5137996673584</v>
      </c>
      <c r="F1307" s="132">
        <v>18965</v>
      </c>
    </row>
    <row r="1308" spans="1:6" ht="14.25">
      <c r="A1308" s="134" t="s">
        <v>840</v>
      </c>
      <c r="B1308" s="111">
        <v>53.739200592041016</v>
      </c>
      <c r="C1308" s="111">
        <f t="shared" si="21"/>
        <v>0.053739200592041014</v>
      </c>
      <c r="D1308" s="111">
        <v>40.96929931640625</v>
      </c>
      <c r="E1308" s="111">
        <v>35.650299072265625</v>
      </c>
      <c r="F1308" s="132">
        <v>16556</v>
      </c>
    </row>
    <row r="1309" spans="1:6" ht="14.25">
      <c r="A1309" s="134" t="s">
        <v>841</v>
      </c>
      <c r="B1309" s="111">
        <v>59.58430099487305</v>
      </c>
      <c r="C1309" s="111">
        <f t="shared" si="21"/>
        <v>0.059584300994873045</v>
      </c>
      <c r="D1309" s="111">
        <v>45.87710189819336</v>
      </c>
      <c r="E1309" s="111">
        <v>39.39979934692383</v>
      </c>
      <c r="F1309" s="132">
        <v>20024</v>
      </c>
    </row>
    <row r="1310" spans="1:6" ht="14.25">
      <c r="A1310" s="134" t="s">
        <v>842</v>
      </c>
      <c r="B1310" s="111">
        <v>55.630699157714844</v>
      </c>
      <c r="C1310" s="111">
        <f t="shared" si="21"/>
        <v>0.05563069915771485</v>
      </c>
      <c r="D1310" s="111">
        <v>43.109798431396484</v>
      </c>
      <c r="E1310" s="111">
        <v>36.78310012817383</v>
      </c>
      <c r="F1310" s="132">
        <v>18445</v>
      </c>
    </row>
    <row r="1311" spans="1:6" ht="14.25">
      <c r="A1311" s="134" t="s">
        <v>843</v>
      </c>
      <c r="B1311" s="111">
        <v>54.6593017578125</v>
      </c>
      <c r="C1311" s="111">
        <f t="shared" si="21"/>
        <v>0.0546593017578125</v>
      </c>
      <c r="D1311" s="111">
        <v>42.352298736572266</v>
      </c>
      <c r="E1311" s="111">
        <v>35.92219924926758</v>
      </c>
      <c r="F1311" s="132">
        <v>21082</v>
      </c>
    </row>
    <row r="1312" spans="1:6" ht="14.25">
      <c r="A1312" s="134" t="s">
        <v>844</v>
      </c>
      <c r="B1312" s="111">
        <v>55.70819854736328</v>
      </c>
      <c r="C1312" s="111">
        <f t="shared" si="21"/>
        <v>0.05570819854736328</v>
      </c>
      <c r="D1312" s="111">
        <v>43.118900299072266</v>
      </c>
      <c r="E1312" s="111">
        <v>36.50120162963867</v>
      </c>
      <c r="F1312" s="132">
        <v>22804</v>
      </c>
    </row>
    <row r="1313" spans="1:6" ht="14.25">
      <c r="A1313" s="134" t="s">
        <v>845</v>
      </c>
      <c r="B1313" s="111">
        <v>59.48910140991211</v>
      </c>
      <c r="C1313" s="111">
        <f t="shared" si="21"/>
        <v>0.059489101409912114</v>
      </c>
      <c r="D1313" s="111">
        <v>46.33679962158203</v>
      </c>
      <c r="E1313" s="111">
        <v>38.93519973754883</v>
      </c>
      <c r="F1313" s="132">
        <v>25222</v>
      </c>
    </row>
    <row r="1314" spans="1:6" ht="14.25">
      <c r="A1314" s="134" t="s">
        <v>846</v>
      </c>
      <c r="B1314" s="111">
        <v>38.25740051269531</v>
      </c>
      <c r="C1314" s="111">
        <f t="shared" si="21"/>
        <v>0.038257400512695314</v>
      </c>
      <c r="D1314" s="111">
        <v>29.472000122070312</v>
      </c>
      <c r="E1314" s="111">
        <v>25.108200073242188</v>
      </c>
      <c r="F1314" s="132">
        <v>19141</v>
      </c>
    </row>
    <row r="1315" spans="1:6" ht="14.25">
      <c r="A1315" s="134" t="s">
        <v>847</v>
      </c>
      <c r="B1315" s="111">
        <v>66.6343002319336</v>
      </c>
      <c r="C1315" s="111">
        <f t="shared" si="21"/>
        <v>0.06663430023193359</v>
      </c>
      <c r="D1315" s="111">
        <v>51.56449890136719</v>
      </c>
      <c r="E1315" s="111">
        <v>43.617401123046875</v>
      </c>
      <c r="F1315" s="132">
        <v>20192</v>
      </c>
    </row>
    <row r="1316" spans="1:6" ht="14.25">
      <c r="A1316" s="134" t="s">
        <v>848</v>
      </c>
      <c r="B1316" s="111">
        <v>77.91950225830078</v>
      </c>
      <c r="C1316" s="111">
        <f t="shared" si="21"/>
        <v>0.07791950225830079</v>
      </c>
      <c r="D1316" s="111">
        <v>59.53239822387695</v>
      </c>
      <c r="E1316" s="111">
        <v>51.004398345947266</v>
      </c>
      <c r="F1316" s="132">
        <v>28876</v>
      </c>
    </row>
    <row r="1317" spans="1:6" ht="14.25">
      <c r="A1317" s="134" t="s">
        <v>849</v>
      </c>
      <c r="B1317" s="111">
        <v>74.42520141601562</v>
      </c>
      <c r="C1317" s="111">
        <f t="shared" si="21"/>
        <v>0.07442520141601562</v>
      </c>
      <c r="D1317" s="111">
        <v>56.78779983520508</v>
      </c>
      <c r="E1317" s="111">
        <v>48.44129943847656</v>
      </c>
      <c r="F1317" s="132">
        <v>29228</v>
      </c>
    </row>
    <row r="1318" spans="1:6" ht="14.25">
      <c r="A1318" s="134" t="s">
        <v>850</v>
      </c>
      <c r="B1318" s="111">
        <v>77.86229705810547</v>
      </c>
      <c r="C1318" s="111">
        <f t="shared" si="21"/>
        <v>0.07786229705810548</v>
      </c>
      <c r="D1318" s="111">
        <v>59.24039840698242</v>
      </c>
      <c r="E1318" s="111">
        <v>50.67179870605469</v>
      </c>
      <c r="F1318" s="132">
        <v>24865</v>
      </c>
    </row>
    <row r="1319" spans="1:6" ht="14.25">
      <c r="A1319" s="134" t="s">
        <v>851</v>
      </c>
      <c r="B1319" s="111">
        <v>74.43090057373047</v>
      </c>
      <c r="C1319" s="111">
        <f t="shared" si="21"/>
        <v>0.07443090057373047</v>
      </c>
      <c r="D1319" s="111">
        <v>56.774200439453125</v>
      </c>
      <c r="E1319" s="111">
        <v>48.21590042114258</v>
      </c>
      <c r="F1319" s="132">
        <v>28272</v>
      </c>
    </row>
    <row r="1320" spans="1:6" ht="14.25">
      <c r="A1320" s="134" t="s">
        <v>852</v>
      </c>
      <c r="B1320" s="111">
        <v>77.66320037841797</v>
      </c>
      <c r="C1320" s="111">
        <f t="shared" si="21"/>
        <v>0.07766320037841797</v>
      </c>
      <c r="D1320" s="111">
        <v>59.40399932861328</v>
      </c>
      <c r="E1320" s="111">
        <v>50.2869987487793</v>
      </c>
      <c r="F1320" s="132">
        <v>17261</v>
      </c>
    </row>
    <row r="1321" spans="1:6" ht="14.25">
      <c r="A1321" s="134" t="s">
        <v>853</v>
      </c>
      <c r="B1321" s="111">
        <v>80.216796875</v>
      </c>
      <c r="C1321" s="111">
        <f t="shared" si="21"/>
        <v>0.080216796875</v>
      </c>
      <c r="D1321" s="111">
        <v>60.85179901123047</v>
      </c>
      <c r="E1321" s="111">
        <v>52.01449966430664</v>
      </c>
      <c r="F1321" s="132">
        <v>20971</v>
      </c>
    </row>
    <row r="1322" spans="1:6" ht="14.25">
      <c r="A1322" s="134" t="s">
        <v>854</v>
      </c>
      <c r="B1322" s="111">
        <v>77.4833984375</v>
      </c>
      <c r="C1322" s="111">
        <f t="shared" si="21"/>
        <v>0.0774833984375</v>
      </c>
      <c r="D1322" s="111">
        <v>59.19329833984375</v>
      </c>
      <c r="E1322" s="111">
        <v>50.38589859008789</v>
      </c>
      <c r="F1322" s="132">
        <v>24019</v>
      </c>
    </row>
    <row r="1323" spans="1:6" ht="14.25">
      <c r="A1323" s="134" t="s">
        <v>855</v>
      </c>
      <c r="B1323" s="111">
        <v>62.67399978637695</v>
      </c>
      <c r="C1323" s="111">
        <f t="shared" si="21"/>
        <v>0.06267399978637696</v>
      </c>
      <c r="D1323" s="111">
        <v>47.80400085449219</v>
      </c>
      <c r="E1323" s="111">
        <v>40.73979949951172</v>
      </c>
      <c r="F1323" s="132">
        <v>27874</v>
      </c>
    </row>
    <row r="1324" spans="1:6" ht="14.25">
      <c r="A1324" s="134" t="s">
        <v>856</v>
      </c>
      <c r="B1324" s="111">
        <v>76.18049621582031</v>
      </c>
      <c r="C1324" s="111">
        <f t="shared" si="21"/>
        <v>0.07618049621582032</v>
      </c>
      <c r="D1324" s="111">
        <v>57.8031005859375</v>
      </c>
      <c r="E1324" s="111">
        <v>49.18989944458008</v>
      </c>
      <c r="F1324" s="132">
        <v>23772</v>
      </c>
    </row>
    <row r="1325" spans="1:6" ht="14.25">
      <c r="A1325" s="134" t="s">
        <v>857</v>
      </c>
      <c r="B1325" s="111">
        <v>104.28880310058594</v>
      </c>
      <c r="C1325" s="111">
        <f t="shared" si="21"/>
        <v>0.10428880310058594</v>
      </c>
      <c r="D1325" s="111">
        <v>79.13079833984375</v>
      </c>
      <c r="E1325" s="111">
        <v>67.339599609375</v>
      </c>
      <c r="F1325" s="132">
        <v>19906</v>
      </c>
    </row>
    <row r="1326" spans="1:6" ht="14.25">
      <c r="A1326" s="134" t="s">
        <v>858</v>
      </c>
      <c r="B1326" s="111">
        <v>95.48400115966797</v>
      </c>
      <c r="C1326" s="111">
        <f t="shared" si="21"/>
        <v>0.09548400115966797</v>
      </c>
      <c r="D1326" s="111">
        <v>73.09700012207031</v>
      </c>
      <c r="E1326" s="111">
        <v>61.962398529052734</v>
      </c>
      <c r="F1326" s="132">
        <v>26311</v>
      </c>
    </row>
    <row r="1327" spans="1:6" ht="14.25">
      <c r="A1327" s="134" t="s">
        <v>859</v>
      </c>
      <c r="B1327" s="111">
        <v>50.72819900512695</v>
      </c>
      <c r="C1327" s="111">
        <f t="shared" si="21"/>
        <v>0.050728199005126956</v>
      </c>
      <c r="D1327" s="111">
        <v>38.380001068115234</v>
      </c>
      <c r="E1327" s="111">
        <v>32.80619812011719</v>
      </c>
      <c r="F1327" s="132">
        <v>42460</v>
      </c>
    </row>
    <row r="1328" spans="1:6" ht="14.25">
      <c r="A1328" s="134" t="s">
        <v>860</v>
      </c>
      <c r="B1328" s="111">
        <v>53.70560073852539</v>
      </c>
      <c r="C1328" s="111">
        <f t="shared" si="21"/>
        <v>0.05370560073852539</v>
      </c>
      <c r="D1328" s="111">
        <v>40.336299896240234</v>
      </c>
      <c r="E1328" s="111">
        <v>34.60860061645508</v>
      </c>
      <c r="F1328" s="132">
        <v>26853</v>
      </c>
    </row>
    <row r="1329" spans="1:6" ht="14.25">
      <c r="A1329" s="134" t="s">
        <v>861</v>
      </c>
      <c r="B1329" s="111">
        <v>94.720703125</v>
      </c>
      <c r="C1329" s="111">
        <f t="shared" si="21"/>
        <v>0.094720703125</v>
      </c>
      <c r="D1329" s="111">
        <v>71.14119720458984</v>
      </c>
      <c r="E1329" s="111">
        <v>61.03919982910156</v>
      </c>
      <c r="F1329" s="132">
        <v>17458</v>
      </c>
    </row>
    <row r="1330" spans="1:6" ht="14.25">
      <c r="A1330" s="134" t="s">
        <v>862</v>
      </c>
      <c r="B1330" s="111">
        <v>92.15390014648438</v>
      </c>
      <c r="C1330" s="111">
        <f t="shared" si="21"/>
        <v>0.09215390014648438</v>
      </c>
      <c r="D1330" s="111">
        <v>69.30609893798828</v>
      </c>
      <c r="E1330" s="111">
        <v>60.0625</v>
      </c>
      <c r="F1330" s="132">
        <v>27436</v>
      </c>
    </row>
    <row r="1331" spans="1:6" ht="14.25">
      <c r="A1331" s="134" t="s">
        <v>863</v>
      </c>
      <c r="B1331" s="111">
        <v>146.38290405273438</v>
      </c>
      <c r="C1331" s="111">
        <f t="shared" si="21"/>
        <v>0.14638290405273438</v>
      </c>
      <c r="D1331" s="111">
        <v>110.52539825439453</v>
      </c>
      <c r="E1331" s="111">
        <v>95.56890106201172</v>
      </c>
      <c r="F1331" s="132">
        <v>17573</v>
      </c>
    </row>
    <row r="1332" spans="1:6" ht="14.25">
      <c r="A1332" s="134" t="s">
        <v>864</v>
      </c>
      <c r="B1332" s="111">
        <v>201.918701171875</v>
      </c>
      <c r="C1332" s="111">
        <f t="shared" si="21"/>
        <v>0.201918701171875</v>
      </c>
      <c r="D1332" s="111">
        <v>152.4573974609375</v>
      </c>
      <c r="E1332" s="111">
        <v>131.82650756835938</v>
      </c>
      <c r="F1332" s="132">
        <v>22910</v>
      </c>
    </row>
    <row r="1333" spans="1:6" ht="14.25">
      <c r="A1333" s="134" t="s">
        <v>865</v>
      </c>
      <c r="B1333" s="111">
        <v>150.1793975830078</v>
      </c>
      <c r="C1333" s="111">
        <f t="shared" si="21"/>
        <v>0.15017939758300783</v>
      </c>
      <c r="D1333" s="111">
        <v>113.39199829101562</v>
      </c>
      <c r="E1333" s="111">
        <v>98.04759979248047</v>
      </c>
      <c r="F1333" s="132">
        <v>26084</v>
      </c>
    </row>
    <row r="1334" spans="1:6" ht="14.25">
      <c r="A1334" s="134" t="s">
        <v>866</v>
      </c>
      <c r="B1334" s="111">
        <v>120.90709686279297</v>
      </c>
      <c r="C1334" s="111">
        <f t="shared" si="21"/>
        <v>0.12090709686279297</v>
      </c>
      <c r="D1334" s="111">
        <v>91.29010009765625</v>
      </c>
      <c r="E1334" s="111">
        <v>78.9365005493164</v>
      </c>
      <c r="F1334" s="132">
        <v>13839</v>
      </c>
    </row>
    <row r="1335" spans="1:6" ht="14.25">
      <c r="A1335" s="134" t="s">
        <v>867</v>
      </c>
      <c r="B1335" s="111">
        <v>80.74490356445312</v>
      </c>
      <c r="C1335" s="111">
        <f t="shared" si="21"/>
        <v>0.08074490356445313</v>
      </c>
      <c r="D1335" s="111">
        <v>59.358699798583984</v>
      </c>
      <c r="E1335" s="111">
        <v>51.94599914550781</v>
      </c>
      <c r="F1335" s="132">
        <v>9783</v>
      </c>
    </row>
    <row r="1336" spans="1:6" ht="14.25">
      <c r="A1336" s="134" t="s">
        <v>868</v>
      </c>
      <c r="B1336" s="111">
        <v>83.40409851074219</v>
      </c>
      <c r="C1336" s="111">
        <f t="shared" si="21"/>
        <v>0.0834040985107422</v>
      </c>
      <c r="D1336" s="111">
        <v>61.3135986328125</v>
      </c>
      <c r="E1336" s="111">
        <v>53.65679931640625</v>
      </c>
      <c r="F1336" s="132">
        <v>23588</v>
      </c>
    </row>
    <row r="1337" spans="1:6" ht="14.25">
      <c r="A1337" s="134" t="s">
        <v>869</v>
      </c>
      <c r="B1337" s="111">
        <v>79.20189666748047</v>
      </c>
      <c r="C1337" s="111">
        <f t="shared" si="21"/>
        <v>0.07920189666748047</v>
      </c>
      <c r="D1337" s="111">
        <v>58.22439956665039</v>
      </c>
      <c r="E1337" s="111">
        <v>50.95330047607422</v>
      </c>
      <c r="F1337" s="132">
        <v>19093</v>
      </c>
    </row>
    <row r="1338" spans="1:6" ht="14.25">
      <c r="A1338" s="134" t="s">
        <v>870</v>
      </c>
      <c r="B1338" s="111">
        <v>67.91179656982422</v>
      </c>
      <c r="C1338" s="111">
        <f t="shared" si="21"/>
        <v>0.06791179656982423</v>
      </c>
      <c r="D1338" s="111">
        <v>49.924598693847656</v>
      </c>
      <c r="E1338" s="111">
        <v>43.690101623535156</v>
      </c>
      <c r="F1338" s="132">
        <v>22544</v>
      </c>
    </row>
    <row r="1339" spans="1:6" ht="14.25">
      <c r="A1339" s="134" t="s">
        <v>871</v>
      </c>
      <c r="B1339" s="111">
        <v>75.0322036743164</v>
      </c>
      <c r="C1339" s="111">
        <f t="shared" si="21"/>
        <v>0.07503220367431641</v>
      </c>
      <c r="D1339" s="111">
        <v>55.15909957885742</v>
      </c>
      <c r="E1339" s="111">
        <v>48.27090072631836</v>
      </c>
      <c r="F1339" s="132">
        <v>18519</v>
      </c>
    </row>
    <row r="1340" spans="1:6" ht="14.25">
      <c r="A1340" s="134" t="s">
        <v>872</v>
      </c>
      <c r="B1340" s="111">
        <v>86.65460205078125</v>
      </c>
      <c r="C1340" s="111">
        <f t="shared" si="21"/>
        <v>0.08665460205078125</v>
      </c>
      <c r="D1340" s="111">
        <v>63.32149887084961</v>
      </c>
      <c r="E1340" s="111">
        <v>55.74079895019531</v>
      </c>
      <c r="F1340" s="132">
        <v>19885</v>
      </c>
    </row>
    <row r="1341" spans="1:6" ht="14.25">
      <c r="A1341" s="134" t="s">
        <v>873</v>
      </c>
      <c r="B1341" s="111">
        <v>84.21839904785156</v>
      </c>
      <c r="C1341" s="111">
        <f t="shared" si="21"/>
        <v>0.08421839904785157</v>
      </c>
      <c r="D1341" s="111">
        <v>61.47570037841797</v>
      </c>
      <c r="E1341" s="111">
        <v>54.27840042114258</v>
      </c>
      <c r="F1341" s="132">
        <v>19738</v>
      </c>
    </row>
    <row r="1342" spans="1:6" ht="14.25">
      <c r="A1342" s="134" t="s">
        <v>874</v>
      </c>
      <c r="B1342" s="111">
        <v>96.17900085449219</v>
      </c>
      <c r="C1342" s="111">
        <f t="shared" si="21"/>
        <v>0.09617900085449219</v>
      </c>
      <c r="D1342" s="111">
        <v>70.76940155029297</v>
      </c>
      <c r="E1342" s="111">
        <v>62.32440185546875</v>
      </c>
      <c r="F1342" s="132">
        <v>20779</v>
      </c>
    </row>
    <row r="1343" spans="1:6" ht="14.25">
      <c r="A1343" s="134" t="s">
        <v>875</v>
      </c>
      <c r="B1343" s="111">
        <v>78.33190155029297</v>
      </c>
      <c r="C1343" s="111">
        <f t="shared" si="21"/>
        <v>0.07833190155029297</v>
      </c>
      <c r="D1343" s="111">
        <v>57.35940170288086</v>
      </c>
      <c r="E1343" s="111">
        <v>50.572601318359375</v>
      </c>
      <c r="F1343" s="132">
        <v>13953</v>
      </c>
    </row>
    <row r="1344" spans="1:6" ht="14.25">
      <c r="A1344" s="134" t="s">
        <v>876</v>
      </c>
      <c r="B1344" s="111">
        <v>83.68560028076172</v>
      </c>
      <c r="C1344" s="111">
        <f t="shared" si="21"/>
        <v>0.08368560028076172</v>
      </c>
      <c r="D1344" s="111">
        <v>61.14970016479492</v>
      </c>
      <c r="E1344" s="111">
        <v>54.042999267578125</v>
      </c>
      <c r="F1344" s="132">
        <v>12053</v>
      </c>
    </row>
    <row r="1345" spans="1:6" ht="14.25">
      <c r="A1345" s="134" t="s">
        <v>877</v>
      </c>
      <c r="B1345" s="111">
        <v>249.0146026611328</v>
      </c>
      <c r="C1345" s="111">
        <f t="shared" si="21"/>
        <v>0.24901460266113282</v>
      </c>
      <c r="D1345" s="111">
        <v>181.35980224609375</v>
      </c>
      <c r="E1345" s="111">
        <v>160.5095977783203</v>
      </c>
      <c r="F1345" s="132">
        <v>23845</v>
      </c>
    </row>
    <row r="1346" spans="1:6" ht="14.25">
      <c r="A1346" s="134" t="s">
        <v>878</v>
      </c>
      <c r="B1346" s="111">
        <v>323.9360046386719</v>
      </c>
      <c r="C1346" s="111">
        <f t="shared" si="21"/>
        <v>0.3239360046386719</v>
      </c>
      <c r="D1346" s="111">
        <v>236.3282012939453</v>
      </c>
      <c r="E1346" s="111">
        <v>208.7888946533203</v>
      </c>
      <c r="F1346" s="132">
        <v>20377</v>
      </c>
    </row>
    <row r="1347" spans="1:6" ht="14.25">
      <c r="A1347" s="134" t="s">
        <v>879</v>
      </c>
      <c r="B1347" s="111">
        <v>213.88540649414062</v>
      </c>
      <c r="C1347" s="111">
        <f t="shared" si="21"/>
        <v>0.21388540649414062</v>
      </c>
      <c r="D1347" s="111">
        <v>154.1215057373047</v>
      </c>
      <c r="E1347" s="111">
        <v>138.37440490722656</v>
      </c>
      <c r="F1347" s="132">
        <v>20086</v>
      </c>
    </row>
    <row r="1348" spans="1:6" ht="14.25">
      <c r="A1348" s="134" t="s">
        <v>880</v>
      </c>
      <c r="B1348" s="111">
        <v>114.8125991821289</v>
      </c>
      <c r="C1348" s="111">
        <f t="shared" si="21"/>
        <v>0.11481259918212891</v>
      </c>
      <c r="D1348" s="111">
        <v>83.95469665527344</v>
      </c>
      <c r="E1348" s="111">
        <v>74.75270080566406</v>
      </c>
      <c r="F1348" s="132">
        <v>22032</v>
      </c>
    </row>
    <row r="1349" spans="1:6" ht="14.25">
      <c r="A1349" s="134" t="s">
        <v>881</v>
      </c>
      <c r="B1349" s="111">
        <v>208.4510955810547</v>
      </c>
      <c r="C1349" s="111">
        <f t="shared" si="21"/>
        <v>0.20845109558105468</v>
      </c>
      <c r="D1349" s="111">
        <v>152.0041046142578</v>
      </c>
      <c r="E1349" s="111">
        <v>135.6573028564453</v>
      </c>
      <c r="F1349" s="132">
        <v>19549</v>
      </c>
    </row>
    <row r="1350" spans="1:6" ht="14.25">
      <c r="A1350" s="134" t="s">
        <v>882</v>
      </c>
      <c r="B1350" s="111">
        <v>218.4459991455078</v>
      </c>
      <c r="C1350" s="111">
        <f t="shared" si="21"/>
        <v>0.21844599914550783</v>
      </c>
      <c r="D1350" s="111">
        <v>159.2924041748047</v>
      </c>
      <c r="E1350" s="111">
        <v>142.16189575195312</v>
      </c>
      <c r="F1350" s="132">
        <v>19042</v>
      </c>
    </row>
    <row r="1351" spans="1:6" ht="14.25">
      <c r="A1351" s="134" t="s">
        <v>883</v>
      </c>
      <c r="B1351" s="111">
        <v>259.4961853027344</v>
      </c>
      <c r="C1351" s="111">
        <f aca="true" t="shared" si="22" ref="C1351:C1414">B1351*10^-3</f>
        <v>0.2594961853027344</v>
      </c>
      <c r="D1351" s="111">
        <v>189.22650146484375</v>
      </c>
      <c r="E1351" s="111">
        <v>168.8769073486328</v>
      </c>
      <c r="F1351" s="132">
        <v>19640</v>
      </c>
    </row>
    <row r="1352" spans="1:6" ht="14.25">
      <c r="A1352" s="134" t="s">
        <v>884</v>
      </c>
      <c r="B1352" s="111">
        <v>151.87559509277344</v>
      </c>
      <c r="C1352" s="111">
        <f t="shared" si="22"/>
        <v>0.15187559509277343</v>
      </c>
      <c r="D1352" s="111">
        <v>110.7488021850586</v>
      </c>
      <c r="E1352" s="111">
        <v>98.83869934082031</v>
      </c>
      <c r="F1352" s="132">
        <v>19756</v>
      </c>
    </row>
    <row r="1353" spans="1:6" ht="14.25">
      <c r="A1353" s="134" t="s">
        <v>885</v>
      </c>
      <c r="B1353" s="111">
        <v>94.68990325927734</v>
      </c>
      <c r="C1353" s="111">
        <f t="shared" si="22"/>
        <v>0.09468990325927734</v>
      </c>
      <c r="D1353" s="111">
        <v>70.07939910888672</v>
      </c>
      <c r="E1353" s="111">
        <v>61.11389923095703</v>
      </c>
      <c r="F1353" s="132">
        <v>20298</v>
      </c>
    </row>
    <row r="1354" spans="1:6" ht="14.25">
      <c r="A1354" s="134" t="s">
        <v>886</v>
      </c>
      <c r="B1354" s="111">
        <v>92.44190216064453</v>
      </c>
      <c r="C1354" s="111">
        <f t="shared" si="22"/>
        <v>0.09244190216064453</v>
      </c>
      <c r="D1354" s="111">
        <v>68.5416030883789</v>
      </c>
      <c r="E1354" s="111">
        <v>59.72079849243164</v>
      </c>
      <c r="F1354" s="132">
        <v>13091</v>
      </c>
    </row>
    <row r="1355" spans="1:6" ht="14.25">
      <c r="A1355" s="134" t="s">
        <v>887</v>
      </c>
      <c r="B1355" s="111">
        <v>74.24400329589844</v>
      </c>
      <c r="C1355" s="111">
        <f t="shared" si="22"/>
        <v>0.07424400329589843</v>
      </c>
      <c r="D1355" s="111">
        <v>55.04869842529297</v>
      </c>
      <c r="E1355" s="111">
        <v>47.964298248291016</v>
      </c>
      <c r="F1355" s="132">
        <v>21683</v>
      </c>
    </row>
    <row r="1356" spans="1:6" ht="14.25">
      <c r="A1356" s="134" t="s">
        <v>888</v>
      </c>
      <c r="B1356" s="111">
        <v>59.4015007019043</v>
      </c>
      <c r="C1356" s="111">
        <f t="shared" si="22"/>
        <v>0.0594015007019043</v>
      </c>
      <c r="D1356" s="111">
        <v>44.04359817504883</v>
      </c>
      <c r="E1356" s="111">
        <v>38.3754997253418</v>
      </c>
      <c r="F1356" s="132">
        <v>22116</v>
      </c>
    </row>
    <row r="1357" spans="1:6" ht="14.25">
      <c r="A1357" s="134" t="s">
        <v>889</v>
      </c>
      <c r="B1357" s="111">
        <v>60.39360046386719</v>
      </c>
      <c r="C1357" s="111">
        <f t="shared" si="22"/>
        <v>0.060393600463867186</v>
      </c>
      <c r="D1357" s="111">
        <v>44.77920150756836</v>
      </c>
      <c r="E1357" s="111">
        <v>39.01649856567383</v>
      </c>
      <c r="F1357" s="132">
        <v>24309</v>
      </c>
    </row>
    <row r="1358" spans="1:6" ht="14.25">
      <c r="A1358" s="134" t="s">
        <v>890</v>
      </c>
      <c r="B1358" s="111">
        <v>87.93329620361328</v>
      </c>
      <c r="C1358" s="111">
        <f t="shared" si="22"/>
        <v>0.08793329620361329</v>
      </c>
      <c r="D1358" s="111">
        <v>64.35780334472656</v>
      </c>
      <c r="E1358" s="111">
        <v>56.86320114135742</v>
      </c>
      <c r="F1358" s="132">
        <v>12358</v>
      </c>
    </row>
    <row r="1359" spans="1:6" ht="14.25">
      <c r="A1359" s="134" t="s">
        <v>891</v>
      </c>
      <c r="B1359" s="111">
        <v>113.07319641113281</v>
      </c>
      <c r="C1359" s="111">
        <f t="shared" si="22"/>
        <v>0.11307319641113281</v>
      </c>
      <c r="D1359" s="111">
        <v>82.75759887695312</v>
      </c>
      <c r="E1359" s="111">
        <v>73.12030029296875</v>
      </c>
      <c r="F1359" s="132">
        <v>20698</v>
      </c>
    </row>
    <row r="1360" spans="1:6" ht="14.25">
      <c r="A1360" s="134" t="s">
        <v>892</v>
      </c>
      <c r="B1360" s="111">
        <v>116.79660034179688</v>
      </c>
      <c r="C1360" s="111">
        <f t="shared" si="22"/>
        <v>0.11679660034179688</v>
      </c>
      <c r="D1360" s="111">
        <v>86.3948974609375</v>
      </c>
      <c r="E1360" s="111">
        <v>76.23300170898438</v>
      </c>
      <c r="F1360" s="132">
        <v>23515</v>
      </c>
    </row>
    <row r="1361" spans="1:6" ht="14.25">
      <c r="A1361" s="134" t="s">
        <v>893</v>
      </c>
      <c r="B1361" s="111">
        <v>149.22720336914062</v>
      </c>
      <c r="C1361" s="111">
        <f t="shared" si="22"/>
        <v>0.14922720336914064</v>
      </c>
      <c r="D1361" s="111">
        <v>110.79229736328125</v>
      </c>
      <c r="E1361" s="111">
        <v>97.25440216064453</v>
      </c>
      <c r="F1361" s="132">
        <v>21341</v>
      </c>
    </row>
    <row r="1362" spans="1:6" ht="14.25">
      <c r="A1362" s="134" t="s">
        <v>894</v>
      </c>
      <c r="B1362" s="111">
        <v>171.0803985595703</v>
      </c>
      <c r="C1362" s="111">
        <f t="shared" si="22"/>
        <v>0.17108039855957033</v>
      </c>
      <c r="D1362" s="111">
        <v>126.35150146484375</v>
      </c>
      <c r="E1362" s="111">
        <v>111.29350280761719</v>
      </c>
      <c r="F1362" s="132">
        <v>28388</v>
      </c>
    </row>
    <row r="1363" spans="1:6" ht="14.25">
      <c r="A1363" s="134" t="s">
        <v>895</v>
      </c>
      <c r="B1363" s="111">
        <v>246.69020080566406</v>
      </c>
      <c r="C1363" s="111">
        <f t="shared" si="22"/>
        <v>0.24669020080566406</v>
      </c>
      <c r="D1363" s="111">
        <v>181.81900024414062</v>
      </c>
      <c r="E1363" s="111">
        <v>160.5323944091797</v>
      </c>
      <c r="F1363" s="132">
        <v>18143</v>
      </c>
    </row>
    <row r="1364" spans="1:6" ht="14.25">
      <c r="A1364" s="134" t="s">
        <v>896</v>
      </c>
      <c r="B1364" s="111">
        <v>394.5205078125</v>
      </c>
      <c r="C1364" s="111">
        <f t="shared" si="22"/>
        <v>0.39452050781250003</v>
      </c>
      <c r="D1364" s="111">
        <v>289.677490234375</v>
      </c>
      <c r="E1364" s="111">
        <v>256.4652099609375</v>
      </c>
      <c r="F1364" s="132">
        <v>19772</v>
      </c>
    </row>
    <row r="1365" spans="1:6" ht="14.25">
      <c r="A1365" s="134" t="s">
        <v>897</v>
      </c>
      <c r="B1365" s="111">
        <v>170.47439575195312</v>
      </c>
      <c r="C1365" s="111">
        <f t="shared" si="22"/>
        <v>0.17047439575195314</v>
      </c>
      <c r="D1365" s="111">
        <v>125.01010131835938</v>
      </c>
      <c r="E1365" s="111">
        <v>110.51110076904297</v>
      </c>
      <c r="F1365" s="132">
        <v>28880</v>
      </c>
    </row>
    <row r="1366" spans="1:6" ht="14.25">
      <c r="A1366" s="134" t="s">
        <v>898</v>
      </c>
      <c r="B1366" s="111">
        <v>99.73560333251953</v>
      </c>
      <c r="C1366" s="111">
        <f t="shared" si="22"/>
        <v>0.09973560333251953</v>
      </c>
      <c r="D1366" s="111">
        <v>72.74079895019531</v>
      </c>
      <c r="E1366" s="111">
        <v>64.50370025634766</v>
      </c>
      <c r="F1366" s="132">
        <v>31777</v>
      </c>
    </row>
    <row r="1367" spans="1:6" ht="14.25">
      <c r="A1367" s="134" t="s">
        <v>907</v>
      </c>
      <c r="B1367" s="111">
        <v>115.21790313720703</v>
      </c>
      <c r="C1367" s="111">
        <f t="shared" si="22"/>
        <v>0.11521790313720703</v>
      </c>
      <c r="D1367" s="111">
        <v>83.93939971923828</v>
      </c>
      <c r="E1367" s="111">
        <v>74.63269805908203</v>
      </c>
      <c r="F1367" s="132">
        <v>24388</v>
      </c>
    </row>
    <row r="1368" spans="1:6" ht="14.25">
      <c r="A1368" s="134" t="s">
        <v>908</v>
      </c>
      <c r="B1368" s="111">
        <v>80.78720092773438</v>
      </c>
      <c r="C1368" s="111">
        <f t="shared" si="22"/>
        <v>0.08078720092773438</v>
      </c>
      <c r="D1368" s="111">
        <v>58.48630142211914</v>
      </c>
      <c r="E1368" s="111">
        <v>52.275901794433594</v>
      </c>
      <c r="F1368" s="132">
        <v>36314</v>
      </c>
    </row>
    <row r="1369" spans="1:6" ht="14.25">
      <c r="A1369" s="134" t="s">
        <v>909</v>
      </c>
      <c r="B1369" s="111">
        <v>79.69329833984375</v>
      </c>
      <c r="C1369" s="111">
        <f t="shared" si="22"/>
        <v>0.07969329833984375</v>
      </c>
      <c r="D1369" s="111">
        <v>56.95320129394531</v>
      </c>
      <c r="E1369" s="111">
        <v>51.471500396728516</v>
      </c>
      <c r="F1369" s="132">
        <v>28298</v>
      </c>
    </row>
    <row r="1370" spans="1:6" ht="14.25">
      <c r="A1370" s="134" t="s">
        <v>910</v>
      </c>
      <c r="B1370" s="111">
        <v>74.26599884033203</v>
      </c>
      <c r="C1370" s="111">
        <f t="shared" si="22"/>
        <v>0.07426599884033203</v>
      </c>
      <c r="D1370" s="111">
        <v>53.46860122680664</v>
      </c>
      <c r="E1370" s="111">
        <v>48.13090133666992</v>
      </c>
      <c r="F1370" s="132">
        <v>24630</v>
      </c>
    </row>
    <row r="1371" spans="1:6" ht="14.25">
      <c r="A1371" s="134" t="s">
        <v>911</v>
      </c>
      <c r="B1371" s="111">
        <v>62.41189956665039</v>
      </c>
      <c r="C1371" s="111">
        <f t="shared" si="22"/>
        <v>0.06241189956665039</v>
      </c>
      <c r="D1371" s="111">
        <v>44.547000885009766</v>
      </c>
      <c r="E1371" s="111">
        <v>40.4640998840332</v>
      </c>
      <c r="F1371" s="132">
        <v>23652</v>
      </c>
    </row>
    <row r="1372" spans="1:6" ht="14.25">
      <c r="A1372" s="134" t="s">
        <v>912</v>
      </c>
      <c r="B1372" s="111">
        <v>72.02040100097656</v>
      </c>
      <c r="C1372" s="111">
        <f t="shared" si="22"/>
        <v>0.07202040100097656</v>
      </c>
      <c r="D1372" s="111">
        <v>50.874698638916016</v>
      </c>
      <c r="E1372" s="111">
        <v>46.699798583984375</v>
      </c>
      <c r="F1372" s="132">
        <v>23340</v>
      </c>
    </row>
    <row r="1373" spans="1:6" ht="14.25">
      <c r="A1373" s="134" t="s">
        <v>913</v>
      </c>
      <c r="B1373" s="111">
        <v>73.50879669189453</v>
      </c>
      <c r="C1373" s="111">
        <f t="shared" si="22"/>
        <v>0.07350879669189453</v>
      </c>
      <c r="D1373" s="111">
        <v>51.97169876098633</v>
      </c>
      <c r="E1373" s="111">
        <v>47.733001708984375</v>
      </c>
      <c r="F1373" s="132">
        <v>28907</v>
      </c>
    </row>
    <row r="1374" spans="1:6" ht="14.25">
      <c r="A1374" s="134" t="s">
        <v>914</v>
      </c>
      <c r="B1374" s="111">
        <v>80.94349670410156</v>
      </c>
      <c r="C1374" s="111">
        <f t="shared" si="22"/>
        <v>0.08094349670410156</v>
      </c>
      <c r="D1374" s="111">
        <v>56.960601806640625</v>
      </c>
      <c r="E1374" s="111">
        <v>52.663299560546875</v>
      </c>
      <c r="F1374" s="132">
        <v>22899</v>
      </c>
    </row>
    <row r="1375" spans="1:6" ht="14.25">
      <c r="A1375" s="134" t="s">
        <v>915</v>
      </c>
      <c r="B1375" s="111">
        <v>75.6458969116211</v>
      </c>
      <c r="C1375" s="111">
        <f t="shared" si="22"/>
        <v>0.0756458969116211</v>
      </c>
      <c r="D1375" s="111">
        <v>53.673500061035156</v>
      </c>
      <c r="E1375" s="111">
        <v>49.210201263427734</v>
      </c>
      <c r="F1375" s="132">
        <v>26527</v>
      </c>
    </row>
    <row r="1376" spans="1:6" ht="14.25">
      <c r="A1376" s="134" t="s">
        <v>916</v>
      </c>
      <c r="B1376" s="111">
        <v>69.63580322265625</v>
      </c>
      <c r="C1376" s="111">
        <f t="shared" si="22"/>
        <v>0.06963580322265625</v>
      </c>
      <c r="D1376" s="111">
        <v>48.91450119018555</v>
      </c>
      <c r="E1376" s="111">
        <v>45.17409896850586</v>
      </c>
      <c r="F1376" s="132">
        <v>34149</v>
      </c>
    </row>
    <row r="1377" spans="1:6" ht="14.25">
      <c r="A1377" s="134" t="s">
        <v>917</v>
      </c>
      <c r="B1377" s="111">
        <v>60.89469909667969</v>
      </c>
      <c r="C1377" s="111">
        <f t="shared" si="22"/>
        <v>0.06089469909667969</v>
      </c>
      <c r="D1377" s="111">
        <v>43.294700622558594</v>
      </c>
      <c r="E1377" s="111">
        <v>39.62179946899414</v>
      </c>
      <c r="F1377" s="132">
        <v>18035</v>
      </c>
    </row>
    <row r="1378" spans="1:6" ht="14.25">
      <c r="A1378" s="134" t="s">
        <v>918</v>
      </c>
      <c r="B1378" s="111">
        <v>54.48350143432617</v>
      </c>
      <c r="C1378" s="111">
        <f t="shared" si="22"/>
        <v>0.054483501434326176</v>
      </c>
      <c r="D1378" s="111">
        <v>38.86869812011719</v>
      </c>
      <c r="E1378" s="111">
        <v>35.448001861572266</v>
      </c>
      <c r="F1378" s="132">
        <v>23701</v>
      </c>
    </row>
    <row r="1379" spans="1:6" ht="14.25">
      <c r="A1379" s="134" t="s">
        <v>919</v>
      </c>
      <c r="B1379" s="111">
        <v>57.96979904174805</v>
      </c>
      <c r="C1379" s="111">
        <f t="shared" si="22"/>
        <v>0.057969799041748045</v>
      </c>
      <c r="D1379" s="111">
        <v>40.947601318359375</v>
      </c>
      <c r="E1379" s="111">
        <v>37.74319839477539</v>
      </c>
      <c r="F1379" s="132">
        <v>26369</v>
      </c>
    </row>
    <row r="1380" spans="1:6" ht="14.25">
      <c r="A1380" s="134" t="s">
        <v>920</v>
      </c>
      <c r="B1380" s="111">
        <v>58.384700775146484</v>
      </c>
      <c r="C1380" s="111">
        <f t="shared" si="22"/>
        <v>0.058384700775146486</v>
      </c>
      <c r="D1380" s="111">
        <v>41.0994987487793</v>
      </c>
      <c r="E1380" s="111">
        <v>38.1151008605957</v>
      </c>
      <c r="F1380" s="132">
        <v>29521</v>
      </c>
    </row>
    <row r="1381" spans="1:6" ht="14.25">
      <c r="A1381" s="134" t="s">
        <v>921</v>
      </c>
      <c r="B1381" s="111">
        <v>59.3656005859375</v>
      </c>
      <c r="C1381" s="111">
        <f t="shared" si="22"/>
        <v>0.059365600585937504</v>
      </c>
      <c r="D1381" s="111">
        <v>41.759300231933594</v>
      </c>
      <c r="E1381" s="111">
        <v>38.60169982910156</v>
      </c>
      <c r="F1381" s="132">
        <v>25550</v>
      </c>
    </row>
    <row r="1382" spans="1:6" ht="14.25">
      <c r="A1382" s="134" t="s">
        <v>922</v>
      </c>
      <c r="B1382" s="111">
        <v>54.54209899902344</v>
      </c>
      <c r="C1382" s="111">
        <f t="shared" si="22"/>
        <v>0.05454209899902344</v>
      </c>
      <c r="D1382" s="111">
        <v>38.67340087890625</v>
      </c>
      <c r="E1382" s="111">
        <v>35.405399322509766</v>
      </c>
      <c r="F1382" s="132">
        <v>21879</v>
      </c>
    </row>
    <row r="1383" spans="1:6" ht="14.25">
      <c r="A1383" s="134" t="s">
        <v>923</v>
      </c>
      <c r="B1383" s="111">
        <v>71.60449981689453</v>
      </c>
      <c r="C1383" s="111">
        <f t="shared" si="22"/>
        <v>0.07160449981689453</v>
      </c>
      <c r="D1383" s="111">
        <v>51.53310012817383</v>
      </c>
      <c r="E1383" s="111">
        <v>46.54779815673828</v>
      </c>
      <c r="F1383" s="132">
        <v>18239</v>
      </c>
    </row>
    <row r="1384" spans="1:6" ht="14.25">
      <c r="A1384" s="134" t="s">
        <v>924</v>
      </c>
      <c r="B1384" s="111">
        <v>64.04820251464844</v>
      </c>
      <c r="C1384" s="111">
        <f t="shared" si="22"/>
        <v>0.06404820251464843</v>
      </c>
      <c r="D1384" s="111">
        <v>46.19919967651367</v>
      </c>
      <c r="E1384" s="111">
        <v>41.4901008605957</v>
      </c>
      <c r="F1384" s="132">
        <v>29597</v>
      </c>
    </row>
    <row r="1385" spans="1:6" ht="14.25">
      <c r="A1385" s="134" t="s">
        <v>925</v>
      </c>
      <c r="B1385" s="111">
        <v>56.595699310302734</v>
      </c>
      <c r="C1385" s="111">
        <f t="shared" si="22"/>
        <v>0.056595699310302734</v>
      </c>
      <c r="D1385" s="111">
        <v>40.79010009765625</v>
      </c>
      <c r="E1385" s="111">
        <v>36.51100158691406</v>
      </c>
      <c r="F1385" s="132">
        <v>26745</v>
      </c>
    </row>
    <row r="1386" spans="1:6" ht="14.25">
      <c r="A1386" s="134" t="s">
        <v>926</v>
      </c>
      <c r="B1386" s="111">
        <v>62.687801361083984</v>
      </c>
      <c r="C1386" s="111">
        <f t="shared" si="22"/>
        <v>0.06268780136108398</v>
      </c>
      <c r="D1386" s="111">
        <v>45.27220153808594</v>
      </c>
      <c r="E1386" s="111">
        <v>40.36040115356445</v>
      </c>
      <c r="F1386" s="132">
        <v>27036</v>
      </c>
    </row>
    <row r="1387" spans="1:6" ht="14.25">
      <c r="A1387" s="134" t="s">
        <v>927</v>
      </c>
      <c r="B1387" s="111">
        <v>55.33250045776367</v>
      </c>
      <c r="C1387" s="111">
        <f t="shared" si="22"/>
        <v>0.055332500457763674</v>
      </c>
      <c r="D1387" s="111">
        <v>39.72589874267578</v>
      </c>
      <c r="E1387" s="111">
        <v>35.55849838256836</v>
      </c>
      <c r="F1387" s="132">
        <v>23874</v>
      </c>
    </row>
    <row r="1388" spans="1:6" ht="14.25">
      <c r="A1388" s="134" t="s">
        <v>928</v>
      </c>
      <c r="B1388" s="111">
        <v>58.298301696777344</v>
      </c>
      <c r="C1388" s="111">
        <f t="shared" si="22"/>
        <v>0.05829830169677735</v>
      </c>
      <c r="D1388" s="111">
        <v>42.22829818725586</v>
      </c>
      <c r="E1388" s="111">
        <v>37.433101654052734</v>
      </c>
      <c r="F1388" s="132">
        <v>32675</v>
      </c>
    </row>
    <row r="1389" spans="1:6" ht="14.25">
      <c r="A1389" s="134" t="s">
        <v>929</v>
      </c>
      <c r="B1389" s="111">
        <v>58.17100143432617</v>
      </c>
      <c r="C1389" s="111">
        <f t="shared" si="22"/>
        <v>0.05817100143432617</v>
      </c>
      <c r="D1389" s="111">
        <v>41.96149826049805</v>
      </c>
      <c r="E1389" s="111">
        <v>37.348899841308594</v>
      </c>
      <c r="F1389" s="132">
        <v>34502</v>
      </c>
    </row>
    <row r="1390" spans="1:6" ht="14.25">
      <c r="A1390" s="134" t="s">
        <v>930</v>
      </c>
      <c r="B1390" s="111">
        <v>56.28120040893555</v>
      </c>
      <c r="C1390" s="111">
        <f t="shared" si="22"/>
        <v>0.05628120040893555</v>
      </c>
      <c r="D1390" s="111">
        <v>40.729698181152344</v>
      </c>
      <c r="E1390" s="111">
        <v>36.32680130004883</v>
      </c>
      <c r="F1390" s="132">
        <v>27280</v>
      </c>
    </row>
    <row r="1391" spans="1:6" ht="14.25">
      <c r="A1391" s="134" t="s">
        <v>931</v>
      </c>
      <c r="B1391" s="111">
        <v>56.1609992980957</v>
      </c>
      <c r="C1391" s="111">
        <f t="shared" si="22"/>
        <v>0.056160999298095704</v>
      </c>
      <c r="D1391" s="111">
        <v>40.68899917602539</v>
      </c>
      <c r="E1391" s="111">
        <v>36.03990173339844</v>
      </c>
      <c r="F1391" s="132">
        <v>30325</v>
      </c>
    </row>
    <row r="1392" spans="1:6" ht="14.25">
      <c r="A1392" s="134" t="s">
        <v>932</v>
      </c>
      <c r="B1392" s="111">
        <v>55.81949996948242</v>
      </c>
      <c r="C1392" s="111">
        <f t="shared" si="22"/>
        <v>0.055819499969482426</v>
      </c>
      <c r="D1392" s="111">
        <v>40.484100341796875</v>
      </c>
      <c r="E1392" s="111">
        <v>35.78860092163086</v>
      </c>
      <c r="F1392" s="132">
        <v>12596</v>
      </c>
    </row>
    <row r="1393" spans="1:6" ht="14.25">
      <c r="A1393" s="134" t="s">
        <v>933</v>
      </c>
      <c r="B1393" s="111">
        <v>68.19380187988281</v>
      </c>
      <c r="C1393" s="111">
        <f t="shared" si="22"/>
        <v>0.06819380187988282</v>
      </c>
      <c r="D1393" s="111">
        <v>50.340999603271484</v>
      </c>
      <c r="E1393" s="111">
        <v>43.89690017700195</v>
      </c>
      <c r="F1393" s="132">
        <v>32364</v>
      </c>
    </row>
    <row r="1394" spans="1:6" ht="14.25">
      <c r="A1394" s="134" t="s">
        <v>934</v>
      </c>
      <c r="B1394" s="111">
        <v>64.002197265625</v>
      </c>
      <c r="C1394" s="111">
        <f t="shared" si="22"/>
        <v>0.064002197265625</v>
      </c>
      <c r="D1394" s="111">
        <v>47.23630142211914</v>
      </c>
      <c r="E1394" s="111">
        <v>41.20399856567383</v>
      </c>
      <c r="F1394" s="132">
        <v>26356</v>
      </c>
    </row>
    <row r="1395" spans="1:6" ht="14.25">
      <c r="A1395" s="134" t="s">
        <v>935</v>
      </c>
      <c r="B1395" s="111">
        <v>65.66419982910156</v>
      </c>
      <c r="C1395" s="111">
        <f t="shared" si="22"/>
        <v>0.06566419982910156</v>
      </c>
      <c r="D1395" s="111">
        <v>48.47129821777344</v>
      </c>
      <c r="E1395" s="111">
        <v>42.27399826049805</v>
      </c>
      <c r="F1395" s="132">
        <v>22863</v>
      </c>
    </row>
    <row r="1396" spans="1:6" ht="14.25">
      <c r="A1396" s="134" t="s">
        <v>936</v>
      </c>
      <c r="B1396" s="111">
        <v>62.32979965209961</v>
      </c>
      <c r="C1396" s="111">
        <f t="shared" si="22"/>
        <v>0.06232979965209961</v>
      </c>
      <c r="D1396" s="111">
        <v>46.23149871826172</v>
      </c>
      <c r="E1396" s="111">
        <v>40.225799560546875</v>
      </c>
      <c r="F1396" s="132">
        <v>39719</v>
      </c>
    </row>
    <row r="1397" spans="1:6" ht="14.25">
      <c r="A1397" s="134" t="s">
        <v>937</v>
      </c>
      <c r="B1397" s="111">
        <v>64.36299896240234</v>
      </c>
      <c r="C1397" s="111">
        <f t="shared" si="22"/>
        <v>0.06436299896240234</v>
      </c>
      <c r="D1397" s="111">
        <v>47.90629959106445</v>
      </c>
      <c r="E1397" s="111">
        <v>41.70479965209961</v>
      </c>
      <c r="F1397" s="132">
        <v>21661</v>
      </c>
    </row>
    <row r="1398" spans="1:6" ht="14.25">
      <c r="A1398" s="134" t="s">
        <v>938</v>
      </c>
      <c r="B1398" s="111">
        <v>74.93800354003906</v>
      </c>
      <c r="C1398" s="111">
        <f t="shared" si="22"/>
        <v>0.07493800354003906</v>
      </c>
      <c r="D1398" s="111">
        <v>55.446800231933594</v>
      </c>
      <c r="E1398" s="111">
        <v>48.58209991455078</v>
      </c>
      <c r="F1398" s="132">
        <v>32838</v>
      </c>
    </row>
    <row r="1399" spans="1:6" ht="14.25">
      <c r="A1399" s="134" t="s">
        <v>939</v>
      </c>
      <c r="B1399" s="111">
        <v>66.76460266113281</v>
      </c>
      <c r="C1399" s="111">
        <f t="shared" si="22"/>
        <v>0.06676460266113281</v>
      </c>
      <c r="D1399" s="111">
        <v>50.502601623535156</v>
      </c>
      <c r="E1399" s="111">
        <v>43.34239959716797</v>
      </c>
      <c r="F1399" s="132">
        <v>25163</v>
      </c>
    </row>
    <row r="1400" spans="1:6" ht="14.25">
      <c r="A1400" s="134" t="s">
        <v>940</v>
      </c>
      <c r="B1400" s="111">
        <v>67.58270263671875</v>
      </c>
      <c r="C1400" s="111">
        <f t="shared" si="22"/>
        <v>0.06758270263671876</v>
      </c>
      <c r="D1400" s="111">
        <v>51.23139953613281</v>
      </c>
      <c r="E1400" s="111">
        <v>43.89630126953125</v>
      </c>
      <c r="F1400" s="132">
        <v>24037</v>
      </c>
    </row>
    <row r="1401" spans="1:6" ht="14.25">
      <c r="A1401" s="134" t="s">
        <v>941</v>
      </c>
      <c r="B1401" s="111">
        <v>51.435699462890625</v>
      </c>
      <c r="C1401" s="111">
        <f t="shared" si="22"/>
        <v>0.05143569946289062</v>
      </c>
      <c r="D1401" s="111">
        <v>39.02320098876953</v>
      </c>
      <c r="E1401" s="111">
        <v>33.375999450683594</v>
      </c>
      <c r="F1401" s="132">
        <v>24640</v>
      </c>
    </row>
    <row r="1402" spans="1:6" ht="14.25">
      <c r="A1402" s="134" t="s">
        <v>942</v>
      </c>
      <c r="B1402" s="111">
        <v>75.30339813232422</v>
      </c>
      <c r="C1402" s="111">
        <f t="shared" si="22"/>
        <v>0.07530339813232421</v>
      </c>
      <c r="D1402" s="111">
        <v>56.99449920654297</v>
      </c>
      <c r="E1402" s="111">
        <v>48.77159881591797</v>
      </c>
      <c r="F1402" s="132">
        <v>11412</v>
      </c>
    </row>
    <row r="1403" spans="1:6" ht="14.25">
      <c r="A1403" s="134" t="s">
        <v>943</v>
      </c>
      <c r="B1403" s="111">
        <v>66.86949920654297</v>
      </c>
      <c r="C1403" s="111">
        <f t="shared" si="22"/>
        <v>0.06686949920654298</v>
      </c>
      <c r="D1403" s="111">
        <v>50.05699920654297</v>
      </c>
      <c r="E1403" s="111">
        <v>43.230899810791016</v>
      </c>
      <c r="F1403" s="132">
        <v>21728</v>
      </c>
    </row>
    <row r="1404" spans="1:6" ht="14.25">
      <c r="A1404" s="134" t="s">
        <v>944</v>
      </c>
      <c r="B1404" s="111">
        <v>63.2682991027832</v>
      </c>
      <c r="C1404" s="111">
        <f t="shared" si="22"/>
        <v>0.0632682991027832</v>
      </c>
      <c r="D1404" s="111">
        <v>48.05350112915039</v>
      </c>
      <c r="E1404" s="111">
        <v>40.83409881591797</v>
      </c>
      <c r="F1404" s="132">
        <v>19734</v>
      </c>
    </row>
    <row r="1405" spans="1:6" ht="14.25">
      <c r="A1405" s="134" t="s">
        <v>945</v>
      </c>
      <c r="B1405" s="111">
        <v>58.750099182128906</v>
      </c>
      <c r="C1405" s="111">
        <f t="shared" si="22"/>
        <v>0.05875009918212891</v>
      </c>
      <c r="D1405" s="111">
        <v>44.67689895629883</v>
      </c>
      <c r="E1405" s="111">
        <v>37.92290115356445</v>
      </c>
      <c r="F1405" s="132">
        <v>26903</v>
      </c>
    </row>
    <row r="1406" spans="1:6" ht="14.25">
      <c r="A1406" s="134" t="s">
        <v>946</v>
      </c>
      <c r="B1406" s="111">
        <v>52.354801177978516</v>
      </c>
      <c r="C1406" s="111">
        <f t="shared" si="22"/>
        <v>0.05235480117797851</v>
      </c>
      <c r="D1406" s="111">
        <v>39.821800231933594</v>
      </c>
      <c r="E1406" s="111">
        <v>33.78160095214844</v>
      </c>
      <c r="F1406" s="132">
        <v>27004</v>
      </c>
    </row>
    <row r="1407" spans="1:6" ht="14.25">
      <c r="A1407" s="134" t="s">
        <v>947</v>
      </c>
      <c r="B1407" s="111">
        <v>58.726200103759766</v>
      </c>
      <c r="C1407" s="111">
        <f t="shared" si="22"/>
        <v>0.058726200103759764</v>
      </c>
      <c r="D1407" s="111">
        <v>44.662200927734375</v>
      </c>
      <c r="E1407" s="111">
        <v>37.887901306152344</v>
      </c>
      <c r="F1407" s="132">
        <v>14591</v>
      </c>
    </row>
    <row r="1408" spans="1:6" ht="14.25">
      <c r="A1408" s="134" t="s">
        <v>948</v>
      </c>
      <c r="B1408" s="111">
        <v>55.46500015258789</v>
      </c>
      <c r="C1408" s="111">
        <f t="shared" si="22"/>
        <v>0.055465000152587894</v>
      </c>
      <c r="D1408" s="111">
        <v>41.843101501464844</v>
      </c>
      <c r="E1408" s="111">
        <v>35.79999923706055</v>
      </c>
      <c r="F1408" s="132">
        <v>25442</v>
      </c>
    </row>
    <row r="1409" spans="1:6" ht="14.25">
      <c r="A1409" s="134" t="s">
        <v>949</v>
      </c>
      <c r="B1409" s="111">
        <v>62.815399169921875</v>
      </c>
      <c r="C1409" s="111">
        <f t="shared" si="22"/>
        <v>0.06281539916992188</v>
      </c>
      <c r="D1409" s="111">
        <v>47.24869918823242</v>
      </c>
      <c r="E1409" s="111">
        <v>40.61259841918945</v>
      </c>
      <c r="F1409" s="132">
        <v>20187</v>
      </c>
    </row>
    <row r="1410" spans="1:6" ht="14.25">
      <c r="A1410" s="134" t="s">
        <v>950</v>
      </c>
      <c r="B1410" s="111">
        <v>60.56460189819336</v>
      </c>
      <c r="C1410" s="111">
        <f t="shared" si="22"/>
        <v>0.06056460189819336</v>
      </c>
      <c r="D1410" s="111">
        <v>45.72819900512695</v>
      </c>
      <c r="E1410" s="111">
        <v>39.18769836425781</v>
      </c>
      <c r="F1410" s="132">
        <v>19919</v>
      </c>
    </row>
    <row r="1411" spans="1:6" ht="14.25">
      <c r="A1411" s="134" t="s">
        <v>951</v>
      </c>
      <c r="B1411" s="111">
        <v>58.17210006713867</v>
      </c>
      <c r="C1411" s="111">
        <f t="shared" si="22"/>
        <v>0.058172100067138674</v>
      </c>
      <c r="D1411" s="111">
        <v>43.62810134887695</v>
      </c>
      <c r="E1411" s="111">
        <v>37.5619010925293</v>
      </c>
      <c r="F1411" s="132">
        <v>25087</v>
      </c>
    </row>
    <row r="1412" spans="1:6" ht="14.25">
      <c r="A1412" s="134" t="s">
        <v>952</v>
      </c>
      <c r="B1412" s="111">
        <v>59.03990173339844</v>
      </c>
      <c r="C1412" s="111">
        <f t="shared" si="22"/>
        <v>0.05903990173339844</v>
      </c>
      <c r="D1412" s="111">
        <v>44.06489944458008</v>
      </c>
      <c r="E1412" s="111">
        <v>38.05590057373047</v>
      </c>
      <c r="F1412" s="132">
        <v>22422</v>
      </c>
    </row>
    <row r="1413" spans="1:6" ht="14.25">
      <c r="A1413" s="134" t="s">
        <v>953</v>
      </c>
      <c r="B1413" s="111">
        <v>70.9030990600586</v>
      </c>
      <c r="C1413" s="111">
        <f t="shared" si="22"/>
        <v>0.0709030990600586</v>
      </c>
      <c r="D1413" s="111">
        <v>53.113399505615234</v>
      </c>
      <c r="E1413" s="111">
        <v>45.67319869995117</v>
      </c>
      <c r="F1413" s="132">
        <v>23652</v>
      </c>
    </row>
    <row r="1414" spans="1:6" ht="14.25">
      <c r="A1414" s="134" t="s">
        <v>954</v>
      </c>
      <c r="B1414" s="111">
        <v>68.15039825439453</v>
      </c>
      <c r="C1414" s="111">
        <f t="shared" si="22"/>
        <v>0.06815039825439453</v>
      </c>
      <c r="D1414" s="111">
        <v>50.99209976196289</v>
      </c>
      <c r="E1414" s="111">
        <v>43.87179946899414</v>
      </c>
      <c r="F1414" s="132">
        <v>26711</v>
      </c>
    </row>
    <row r="1415" spans="1:6" ht="14.25">
      <c r="A1415" s="134" t="s">
        <v>955</v>
      </c>
      <c r="B1415" s="111">
        <v>76.90390014648438</v>
      </c>
      <c r="C1415" s="111">
        <f aca="true" t="shared" si="23" ref="C1415:C1443">B1415*10^-3</f>
        <v>0.07690390014648438</v>
      </c>
      <c r="D1415" s="111">
        <v>57.885799407958984</v>
      </c>
      <c r="E1415" s="111">
        <v>49.5004997253418</v>
      </c>
      <c r="F1415" s="132">
        <v>34726</v>
      </c>
    </row>
    <row r="1416" spans="1:6" ht="14.25">
      <c r="A1416" s="134" t="s">
        <v>956</v>
      </c>
      <c r="B1416" s="111">
        <v>76.5011978149414</v>
      </c>
      <c r="C1416" s="111">
        <f t="shared" si="23"/>
        <v>0.07650119781494141</v>
      </c>
      <c r="D1416" s="111">
        <v>58.29460144042969</v>
      </c>
      <c r="E1416" s="111">
        <v>49.460899353027344</v>
      </c>
      <c r="F1416" s="132">
        <v>37529</v>
      </c>
    </row>
    <row r="1417" spans="1:6" ht="14.25">
      <c r="A1417" s="134" t="s">
        <v>957</v>
      </c>
      <c r="B1417" s="111">
        <v>120.75849914550781</v>
      </c>
      <c r="C1417" s="111">
        <f t="shared" si="23"/>
        <v>0.12075849914550782</v>
      </c>
      <c r="D1417" s="111">
        <v>91.956298828125</v>
      </c>
      <c r="E1417" s="111">
        <v>78.05470275878906</v>
      </c>
      <c r="F1417" s="132">
        <v>22367</v>
      </c>
    </row>
    <row r="1418" spans="1:6" ht="14.25">
      <c r="A1418" s="134" t="s">
        <v>958</v>
      </c>
      <c r="B1418" s="111">
        <v>96.06400299072266</v>
      </c>
      <c r="C1418" s="111">
        <f t="shared" si="23"/>
        <v>0.09606400299072265</v>
      </c>
      <c r="D1418" s="111">
        <v>72.92320251464844</v>
      </c>
      <c r="E1418" s="111">
        <v>62.072898864746094</v>
      </c>
      <c r="F1418" s="132">
        <v>18995</v>
      </c>
    </row>
    <row r="1419" spans="1:6" ht="14.25">
      <c r="A1419" s="134" t="s">
        <v>959</v>
      </c>
      <c r="B1419" s="111">
        <v>82.87460327148438</v>
      </c>
      <c r="C1419" s="111">
        <f t="shared" si="23"/>
        <v>0.08287460327148438</v>
      </c>
      <c r="D1419" s="111">
        <v>62.348201751708984</v>
      </c>
      <c r="E1419" s="111">
        <v>53.41230010986328</v>
      </c>
      <c r="F1419" s="132">
        <v>18941</v>
      </c>
    </row>
    <row r="1420" spans="1:6" ht="14.25">
      <c r="A1420" s="134" t="s">
        <v>960</v>
      </c>
      <c r="B1420" s="111">
        <v>79.29720306396484</v>
      </c>
      <c r="C1420" s="111">
        <f t="shared" si="23"/>
        <v>0.07929720306396484</v>
      </c>
      <c r="D1420" s="111">
        <v>59.72850036621094</v>
      </c>
      <c r="E1420" s="111">
        <v>51.11989974975586</v>
      </c>
      <c r="F1420" s="132">
        <v>19051</v>
      </c>
    </row>
    <row r="1421" spans="1:6" ht="14.25">
      <c r="A1421" s="134" t="s">
        <v>961</v>
      </c>
      <c r="B1421" s="111">
        <v>60.38520050048828</v>
      </c>
      <c r="C1421" s="111">
        <f t="shared" si="23"/>
        <v>0.06038520050048828</v>
      </c>
      <c r="D1421" s="111">
        <v>45.73609924316406</v>
      </c>
      <c r="E1421" s="111">
        <v>38.97079849243164</v>
      </c>
      <c r="F1421" s="132">
        <v>24013</v>
      </c>
    </row>
    <row r="1422" spans="1:6" ht="14.25">
      <c r="A1422" s="134" t="s">
        <v>962</v>
      </c>
      <c r="B1422" s="111">
        <v>69.54509735107422</v>
      </c>
      <c r="C1422" s="111">
        <f t="shared" si="23"/>
        <v>0.06954509735107423</v>
      </c>
      <c r="D1422" s="111">
        <v>52.12519836425781</v>
      </c>
      <c r="E1422" s="111">
        <v>44.850399017333984</v>
      </c>
      <c r="F1422" s="132">
        <v>22060</v>
      </c>
    </row>
    <row r="1423" spans="1:6" ht="14.25">
      <c r="A1423" s="134" t="s">
        <v>963</v>
      </c>
      <c r="B1423" s="111">
        <v>50.568599700927734</v>
      </c>
      <c r="C1423" s="111">
        <f t="shared" si="23"/>
        <v>0.05056859970092774</v>
      </c>
      <c r="D1423" s="111">
        <v>37.699501037597656</v>
      </c>
      <c r="E1423" s="111">
        <v>32.530399322509766</v>
      </c>
      <c r="F1423" s="132">
        <v>32324</v>
      </c>
    </row>
    <row r="1424" spans="1:6" ht="14.25">
      <c r="A1424" s="134" t="s">
        <v>964</v>
      </c>
      <c r="B1424" s="111">
        <v>54.51219940185547</v>
      </c>
      <c r="C1424" s="111">
        <f t="shared" si="23"/>
        <v>0.05451219940185547</v>
      </c>
      <c r="D1424" s="111">
        <v>39.99660110473633</v>
      </c>
      <c r="E1424" s="111">
        <v>34.87670135498047</v>
      </c>
      <c r="F1424" s="132">
        <v>16042</v>
      </c>
    </row>
    <row r="1425" spans="1:6" ht="14.25">
      <c r="A1425" s="134" t="s">
        <v>965</v>
      </c>
      <c r="B1425" s="111">
        <v>61.31769943237305</v>
      </c>
      <c r="C1425" s="111">
        <f t="shared" si="23"/>
        <v>0.06131769943237305</v>
      </c>
      <c r="D1425" s="111">
        <v>44.94620132446289</v>
      </c>
      <c r="E1425" s="111">
        <v>39.17559814453125</v>
      </c>
      <c r="F1425" s="132">
        <v>18692</v>
      </c>
    </row>
    <row r="1426" spans="1:6" ht="14.25">
      <c r="A1426" s="134" t="s">
        <v>966</v>
      </c>
      <c r="B1426" s="111">
        <v>58.55459976196289</v>
      </c>
      <c r="C1426" s="111">
        <f t="shared" si="23"/>
        <v>0.058554599761962894</v>
      </c>
      <c r="D1426" s="111">
        <v>42.8036994934082</v>
      </c>
      <c r="E1426" s="111">
        <v>37.38639831542969</v>
      </c>
      <c r="F1426" s="132">
        <v>20506</v>
      </c>
    </row>
    <row r="1427" spans="1:6" ht="14.25">
      <c r="A1427" s="134" t="s">
        <v>967</v>
      </c>
      <c r="B1427" s="111">
        <v>62.25740051269531</v>
      </c>
      <c r="C1427" s="111">
        <f t="shared" si="23"/>
        <v>0.062257400512695314</v>
      </c>
      <c r="D1427" s="111">
        <v>45.2953987121582</v>
      </c>
      <c r="E1427" s="111">
        <v>39.64929962158203</v>
      </c>
      <c r="F1427" s="132">
        <v>16224</v>
      </c>
    </row>
    <row r="1428" spans="1:6" ht="14.25">
      <c r="A1428" s="134" t="s">
        <v>968</v>
      </c>
      <c r="B1428" s="111">
        <v>55.44770050048828</v>
      </c>
      <c r="C1428" s="111">
        <f t="shared" si="23"/>
        <v>0.055447700500488285</v>
      </c>
      <c r="D1428" s="111">
        <v>40.479698181152344</v>
      </c>
      <c r="E1428" s="111">
        <v>35.25189971923828</v>
      </c>
      <c r="F1428" s="132">
        <v>29286</v>
      </c>
    </row>
    <row r="1429" spans="1:6" ht="14.25">
      <c r="A1429" s="134" t="s">
        <v>969</v>
      </c>
      <c r="B1429" s="111">
        <v>62.290199279785156</v>
      </c>
      <c r="C1429" s="111">
        <f t="shared" si="23"/>
        <v>0.06229019927978516</v>
      </c>
      <c r="D1429" s="111">
        <v>45.64670181274414</v>
      </c>
      <c r="E1429" s="111">
        <v>39.70309829711914</v>
      </c>
      <c r="F1429" s="132">
        <v>34028</v>
      </c>
    </row>
    <row r="1430" spans="1:6" ht="14.25">
      <c r="A1430" s="134" t="s">
        <v>970</v>
      </c>
      <c r="B1430" s="111">
        <v>63.4734992980957</v>
      </c>
      <c r="C1430" s="111">
        <f t="shared" si="23"/>
        <v>0.0634734992980957</v>
      </c>
      <c r="D1430" s="111">
        <v>46.99340057373047</v>
      </c>
      <c r="E1430" s="111">
        <v>40.51150131225586</v>
      </c>
      <c r="F1430" s="132">
        <v>36506</v>
      </c>
    </row>
    <row r="1431" spans="1:6" ht="14.25">
      <c r="A1431" s="134" t="s">
        <v>971</v>
      </c>
      <c r="B1431" s="111">
        <v>65.22830200195312</v>
      </c>
      <c r="C1431" s="111">
        <f t="shared" si="23"/>
        <v>0.06522830200195312</v>
      </c>
      <c r="D1431" s="111">
        <v>48.474098205566406</v>
      </c>
      <c r="E1431" s="111">
        <v>41.501800537109375</v>
      </c>
      <c r="F1431" s="132">
        <v>22046</v>
      </c>
    </row>
    <row r="1432" spans="1:6" ht="14.25">
      <c r="A1432" s="134" t="s">
        <v>972</v>
      </c>
      <c r="B1432" s="111">
        <v>53.95069885253906</v>
      </c>
      <c r="C1432" s="111">
        <f t="shared" si="23"/>
        <v>0.053950698852539065</v>
      </c>
      <c r="D1432" s="111">
        <v>40.511199951171875</v>
      </c>
      <c r="E1432" s="111">
        <v>34.43370056152344</v>
      </c>
      <c r="F1432" s="132">
        <v>23042</v>
      </c>
    </row>
    <row r="1433" spans="1:6" ht="14.25">
      <c r="A1433" s="134" t="s">
        <v>973</v>
      </c>
      <c r="B1433" s="111">
        <v>60.53889846801758</v>
      </c>
      <c r="C1433" s="111">
        <f t="shared" si="23"/>
        <v>0.06053889846801758</v>
      </c>
      <c r="D1433" s="111">
        <v>45.85879898071289</v>
      </c>
      <c r="E1433" s="111">
        <v>38.8568000793457</v>
      </c>
      <c r="F1433" s="132">
        <v>29986</v>
      </c>
    </row>
    <row r="1434" spans="1:6" ht="14.25">
      <c r="A1434" s="134" t="s">
        <v>974</v>
      </c>
      <c r="B1434" s="111">
        <v>57.002899169921875</v>
      </c>
      <c r="C1434" s="111">
        <f t="shared" si="23"/>
        <v>0.05700289916992188</v>
      </c>
      <c r="D1434" s="111">
        <v>43.1255989074707</v>
      </c>
      <c r="E1434" s="111">
        <v>36.61539840698242</v>
      </c>
      <c r="F1434" s="132">
        <v>25590</v>
      </c>
    </row>
    <row r="1435" spans="1:6" ht="14.25">
      <c r="A1435" s="134" t="s">
        <v>975</v>
      </c>
      <c r="B1435" s="111">
        <v>62.32889938354492</v>
      </c>
      <c r="C1435" s="111">
        <f t="shared" si="23"/>
        <v>0.062328899383544925</v>
      </c>
      <c r="D1435" s="111">
        <v>47.83720016479492</v>
      </c>
      <c r="E1435" s="111">
        <v>40.16550064086914</v>
      </c>
      <c r="F1435" s="132">
        <v>27201</v>
      </c>
    </row>
    <row r="1436" spans="1:6" ht="14.25">
      <c r="A1436" s="134" t="s">
        <v>976</v>
      </c>
      <c r="B1436" s="111">
        <v>60.038700103759766</v>
      </c>
      <c r="C1436" s="111">
        <f t="shared" si="23"/>
        <v>0.060038700103759765</v>
      </c>
      <c r="D1436" s="111">
        <v>46.185699462890625</v>
      </c>
      <c r="E1436" s="111">
        <v>38.78219985961914</v>
      </c>
      <c r="F1436" s="132">
        <v>22317</v>
      </c>
    </row>
    <row r="1437" spans="1:6" ht="14.25">
      <c r="A1437" s="134" t="s">
        <v>977</v>
      </c>
      <c r="B1437" s="111">
        <v>60.653499603271484</v>
      </c>
      <c r="C1437" s="111">
        <f t="shared" si="23"/>
        <v>0.06065349960327149</v>
      </c>
      <c r="D1437" s="111">
        <v>46.67369842529297</v>
      </c>
      <c r="E1437" s="111">
        <v>39.22489929199219</v>
      </c>
      <c r="F1437" s="132">
        <v>25173</v>
      </c>
    </row>
    <row r="1438" spans="1:6" ht="14.25">
      <c r="A1438" s="134" t="s">
        <v>978</v>
      </c>
      <c r="B1438" s="111">
        <v>60.230098724365234</v>
      </c>
      <c r="C1438" s="111">
        <f t="shared" si="23"/>
        <v>0.06023009872436524</v>
      </c>
      <c r="D1438" s="111">
        <v>45.862098693847656</v>
      </c>
      <c r="E1438" s="111">
        <v>38.79050064086914</v>
      </c>
      <c r="F1438" s="132">
        <v>22396</v>
      </c>
    </row>
    <row r="1439" spans="1:6" ht="14.25">
      <c r="A1439" s="134" t="s">
        <v>979</v>
      </c>
      <c r="B1439" s="111">
        <v>59.97100067138672</v>
      </c>
      <c r="C1439" s="111">
        <f t="shared" si="23"/>
        <v>0.05997100067138672</v>
      </c>
      <c r="D1439" s="111">
        <v>45.421199798583984</v>
      </c>
      <c r="E1439" s="111">
        <v>38.60380172729492</v>
      </c>
      <c r="F1439" s="132">
        <v>27457</v>
      </c>
    </row>
    <row r="1440" spans="1:6" ht="14.25">
      <c r="A1440" s="134" t="s">
        <v>980</v>
      </c>
      <c r="B1440" s="111">
        <v>65.10220336914062</v>
      </c>
      <c r="C1440" s="111">
        <f t="shared" si="23"/>
        <v>0.06510220336914063</v>
      </c>
      <c r="D1440" s="111">
        <v>49.682498931884766</v>
      </c>
      <c r="E1440" s="111">
        <v>42.00410079956055</v>
      </c>
      <c r="F1440" s="132">
        <v>22330</v>
      </c>
    </row>
    <row r="1441" spans="1:6" ht="14.25">
      <c r="A1441" s="134" t="s">
        <v>981</v>
      </c>
      <c r="B1441" s="111">
        <v>64.76679992675781</v>
      </c>
      <c r="C1441" s="111">
        <f t="shared" si="23"/>
        <v>0.06476679992675781</v>
      </c>
      <c r="D1441" s="111">
        <v>49.76789855957031</v>
      </c>
      <c r="E1441" s="111">
        <v>41.814701080322266</v>
      </c>
      <c r="F1441" s="132">
        <v>28897</v>
      </c>
    </row>
    <row r="1442" spans="1:6" ht="14.25">
      <c r="A1442" s="134" t="s">
        <v>982</v>
      </c>
      <c r="B1442" s="111">
        <v>63.65879821777344</v>
      </c>
      <c r="C1442" s="111">
        <f t="shared" si="23"/>
        <v>0.06365879821777344</v>
      </c>
      <c r="D1442" s="111">
        <v>49.31050109863281</v>
      </c>
      <c r="E1442" s="111">
        <v>41.11259841918945</v>
      </c>
      <c r="F1442" s="132">
        <v>19312</v>
      </c>
    </row>
    <row r="1443" spans="1:6" ht="14.25">
      <c r="A1443" s="134" t="s">
        <v>983</v>
      </c>
      <c r="B1443" s="111">
        <v>61.86000061035156</v>
      </c>
      <c r="C1443" s="111">
        <f t="shared" si="23"/>
        <v>0.061860000610351566</v>
      </c>
      <c r="D1443" s="111">
        <v>47.95500183105469</v>
      </c>
      <c r="E1443" s="111">
        <v>39.89939880371094</v>
      </c>
      <c r="F1443" s="132">
        <v>26801</v>
      </c>
    </row>
    <row r="1444" spans="2:6" ht="14.25">
      <c r="B1444" s="111"/>
      <c r="C1444" s="111"/>
      <c r="D1444" s="111"/>
      <c r="E1444" s="111"/>
      <c r="F1444" s="132"/>
    </row>
    <row r="1445" spans="2:6" ht="14.25">
      <c r="B1445" s="111"/>
      <c r="C1445" s="111"/>
      <c r="D1445" s="111"/>
      <c r="E1445" s="111"/>
      <c r="F1445" s="132"/>
    </row>
    <row r="1446" spans="2:6" ht="14.25">
      <c r="B1446" s="111"/>
      <c r="C1446" s="111"/>
      <c r="D1446" s="111"/>
      <c r="E1446" s="111"/>
      <c r="F1446" s="132"/>
    </row>
    <row r="1447" spans="2:6" ht="14.25">
      <c r="B1447" s="111"/>
      <c r="C1447" s="111"/>
      <c r="D1447" s="111"/>
      <c r="E1447" s="111"/>
      <c r="F1447" s="132"/>
    </row>
    <row r="1448" spans="2:6" ht="14.25">
      <c r="B1448" s="111"/>
      <c r="C1448" s="111"/>
      <c r="D1448" s="111"/>
      <c r="E1448" s="111"/>
      <c r="F1448" s="132"/>
    </row>
    <row r="1449" spans="2:6" ht="14.25">
      <c r="B1449" s="111"/>
      <c r="C1449" s="111"/>
      <c r="D1449" s="111"/>
      <c r="E1449" s="111"/>
      <c r="F1449" s="132"/>
    </row>
    <row r="1450" spans="2:6" ht="14.25">
      <c r="B1450" s="111"/>
      <c r="C1450" s="111"/>
      <c r="D1450" s="111"/>
      <c r="E1450" s="111"/>
      <c r="F1450" s="132"/>
    </row>
    <row r="1451" spans="2:6" ht="14.25">
      <c r="B1451" s="111"/>
      <c r="C1451" s="111"/>
      <c r="D1451" s="111"/>
      <c r="E1451" s="111"/>
      <c r="F1451" s="132"/>
    </row>
    <row r="1452" spans="2:6" ht="14.25">
      <c r="B1452" s="111"/>
      <c r="C1452" s="111"/>
      <c r="D1452" s="111"/>
      <c r="E1452" s="111"/>
      <c r="F1452" s="132"/>
    </row>
    <row r="1453" spans="2:6" ht="14.25">
      <c r="B1453" s="111"/>
      <c r="C1453" s="111"/>
      <c r="D1453" s="111"/>
      <c r="E1453" s="111"/>
      <c r="F1453" s="132"/>
    </row>
    <row r="1454" spans="2:6" ht="14.25">
      <c r="B1454" s="111"/>
      <c r="C1454" s="111"/>
      <c r="D1454" s="111"/>
      <c r="E1454" s="111"/>
      <c r="F1454" s="132"/>
    </row>
    <row r="1455" spans="2:6" ht="14.25">
      <c r="B1455" s="111"/>
      <c r="C1455" s="111"/>
      <c r="D1455" s="111"/>
      <c r="E1455" s="111"/>
      <c r="F1455" s="132"/>
    </row>
    <row r="1456" ht="14.25">
      <c r="F1456" s="132"/>
    </row>
    <row r="1457" ht="14.25">
      <c r="F1457" s="132"/>
    </row>
    <row r="1458" ht="14.25">
      <c r="F1458" s="132"/>
    </row>
  </sheetData>
  <printOptions/>
  <pageMargins left="0.75" right="0.75" top="1" bottom="1" header="0.4921259845" footer="0.4921259845"/>
  <pageSetup horizontalDpi="600" verticalDpi="600" orientation="portrait" paperSize="9" r:id="rId1"/>
  <ignoredErrors>
    <ignoredError sqref="A1249:A1367 A1368:A1405 A1451:A1939 A1444:A1450 A1406:A1443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2:E24"/>
  <sheetViews>
    <sheetView workbookViewId="0" topLeftCell="A1">
      <selection activeCell="E2" sqref="E2"/>
    </sheetView>
  </sheetViews>
  <sheetFormatPr defaultColWidth="11.421875" defaultRowHeight="12.75"/>
  <cols>
    <col min="1" max="1" width="24.28125" style="109" customWidth="1"/>
    <col min="2" max="16384" width="12.57421875" style="109" customWidth="1"/>
  </cols>
  <sheetData>
    <row r="2" spans="1:5" ht="15">
      <c r="A2" s="113" t="s">
        <v>661</v>
      </c>
      <c r="B2" s="109" t="s">
        <v>662</v>
      </c>
      <c r="C2" s="119" t="s">
        <v>673</v>
      </c>
      <c r="D2" s="109" t="s">
        <v>663</v>
      </c>
      <c r="E2" s="119" t="s">
        <v>673</v>
      </c>
    </row>
    <row r="4" spans="1:4" ht="14.25">
      <c r="A4" s="109" t="s">
        <v>664</v>
      </c>
      <c r="B4" s="109">
        <v>1433.612</v>
      </c>
      <c r="D4" s="109">
        <v>1501.054</v>
      </c>
    </row>
    <row r="6" spans="1:5" ht="14.25">
      <c r="A6" s="109" t="s">
        <v>665</v>
      </c>
      <c r="B6" s="109">
        <v>53944033</v>
      </c>
      <c r="C6" s="114">
        <f>B6/B$9</f>
        <v>0.5069916858827902</v>
      </c>
      <c r="D6" s="109">
        <v>52015929</v>
      </c>
      <c r="E6" s="114">
        <f>D6/D$9</f>
        <v>0.5256315400939252</v>
      </c>
    </row>
    <row r="7" spans="1:5" ht="14.25">
      <c r="A7" s="109" t="s">
        <v>666</v>
      </c>
      <c r="B7" s="109">
        <f>-70142+52526341</f>
        <v>52456199</v>
      </c>
      <c r="C7" s="114">
        <f>B7/B$9</f>
        <v>0.4930083141172098</v>
      </c>
      <c r="D7" s="109">
        <f>-39931+47159874-176953</f>
        <v>46942990</v>
      </c>
      <c r="E7" s="114">
        <f>D7/D$9</f>
        <v>0.47436845990607474</v>
      </c>
    </row>
    <row r="9" spans="1:5" ht="14.25">
      <c r="A9" s="109" t="s">
        <v>667</v>
      </c>
      <c r="B9" s="109">
        <f>SUM(B6:B7)</f>
        <v>106400232</v>
      </c>
      <c r="C9" s="114">
        <f>B9/B$9</f>
        <v>1</v>
      </c>
      <c r="D9" s="109">
        <f>SUM(D6:D7)</f>
        <v>98958919</v>
      </c>
      <c r="E9" s="114">
        <f>D9/D$9</f>
        <v>1</v>
      </c>
    </row>
    <row r="10" spans="1:5" ht="14.25">
      <c r="A10" s="112" t="s">
        <v>679</v>
      </c>
      <c r="C10" s="114"/>
      <c r="E10" s="114"/>
    </row>
    <row r="11" spans="1:5" ht="14.25">
      <c r="A11" s="112"/>
      <c r="C11" s="114"/>
      <c r="E11" s="114"/>
    </row>
    <row r="12" spans="1:5" ht="14.25">
      <c r="A12" s="112" t="s">
        <v>675</v>
      </c>
      <c r="C12" s="118" t="s">
        <v>674</v>
      </c>
      <c r="E12" s="118" t="s">
        <v>674</v>
      </c>
    </row>
    <row r="13" spans="1:4" ht="14.25">
      <c r="A13" s="109" t="s">
        <v>668</v>
      </c>
      <c r="B13" s="115">
        <f>B9/B4</f>
        <v>74218.29058350515</v>
      </c>
      <c r="C13" s="115"/>
      <c r="D13" s="115">
        <f>D9/D4</f>
        <v>65926.28846130785</v>
      </c>
    </row>
    <row r="14" spans="1:5" ht="14.25">
      <c r="A14" s="109" t="s">
        <v>669</v>
      </c>
      <c r="B14" s="115">
        <f>B13*10^-3</f>
        <v>74.21829058350515</v>
      </c>
      <c r="C14" s="117">
        <f>B14/B$17</f>
        <v>2.6842058077217055</v>
      </c>
      <c r="D14" s="115">
        <f>D13*10^-3</f>
        <v>65.92628846130785</v>
      </c>
      <c r="E14" s="117">
        <f>D14/D$17</f>
        <v>1.791475229926844</v>
      </c>
    </row>
    <row r="15" spans="1:4" ht="14.25">
      <c r="A15" s="109" t="s">
        <v>670</v>
      </c>
      <c r="B15" s="116">
        <f>B13*10^-6</f>
        <v>0.07421829058350515</v>
      </c>
      <c r="C15" s="116"/>
      <c r="D15" s="116">
        <f>D13*10^-6</f>
        <v>0.06592628846130785</v>
      </c>
    </row>
    <row r="16" spans="1:4" ht="14.25">
      <c r="A16" s="112" t="s">
        <v>676</v>
      </c>
      <c r="B16" s="116"/>
      <c r="C16" s="116"/>
      <c r="D16" s="116"/>
    </row>
    <row r="17" spans="1:5" ht="14.25">
      <c r="A17" s="109" t="s">
        <v>671</v>
      </c>
      <c r="B17" s="115">
        <v>27.65</v>
      </c>
      <c r="C17" s="117">
        <f>B17/B$17</f>
        <v>1</v>
      </c>
      <c r="D17" s="115">
        <v>36.8</v>
      </c>
      <c r="E17" s="117">
        <f>D17/D$17</f>
        <v>1</v>
      </c>
    </row>
    <row r="19" ht="14.25">
      <c r="A19" s="112" t="s">
        <v>677</v>
      </c>
    </row>
    <row r="21" ht="14.25">
      <c r="A21" s="112" t="s">
        <v>672</v>
      </c>
    </row>
    <row r="24" ht="14.25">
      <c r="A24" s="112" t="s">
        <v>678</v>
      </c>
    </row>
  </sheetData>
  <printOptions/>
  <pageMargins left="0.4" right="0.27" top="1" bottom="1" header="0.4921259845" footer="0.492125984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35"/>
  <sheetViews>
    <sheetView workbookViewId="0" topLeftCell="A1">
      <pane xSplit="1" ySplit="1" topLeftCell="B36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387" sqref="C387"/>
    </sheetView>
  </sheetViews>
  <sheetFormatPr defaultColWidth="10.7109375" defaultRowHeight="12.75" customHeight="1" outlineLevelCol="1"/>
  <cols>
    <col min="1" max="3" width="15.7109375" style="0" customWidth="1"/>
    <col min="4" max="12" width="15.7109375" style="0" hidden="1" customWidth="1" outlineLevel="1"/>
    <col min="13" max="13" width="15.7109375" style="0" customWidth="1" collapsed="1"/>
    <col min="14" max="253" width="15.7109375" style="0" customWidth="1"/>
    <col min="254" max="16384" width="11.7109375" style="0" customWidth="1"/>
  </cols>
  <sheetData>
    <row r="1" spans="1:14" ht="12.75">
      <c r="A1" s="91"/>
      <c r="B1" s="91"/>
      <c r="C1" s="91" t="s">
        <v>309</v>
      </c>
      <c r="D1" s="91" t="s">
        <v>310</v>
      </c>
      <c r="E1" s="91" t="s">
        <v>311</v>
      </c>
      <c r="F1" s="91" t="s">
        <v>312</v>
      </c>
      <c r="G1" s="91" t="s">
        <v>313</v>
      </c>
      <c r="H1" s="91" t="s">
        <v>314</v>
      </c>
      <c r="I1" s="91" t="s">
        <v>315</v>
      </c>
      <c r="J1" s="91" t="s">
        <v>316</v>
      </c>
      <c r="K1" s="91" t="s">
        <v>317</v>
      </c>
      <c r="L1" s="91" t="s">
        <v>309</v>
      </c>
      <c r="M1" t="s">
        <v>726</v>
      </c>
      <c r="N1" t="s">
        <v>753</v>
      </c>
    </row>
    <row r="2" spans="1:13" ht="12.75">
      <c r="A2" s="91"/>
      <c r="B2" s="91"/>
      <c r="C2" s="91" t="s">
        <v>318</v>
      </c>
      <c r="D2" s="91"/>
      <c r="E2" s="91"/>
      <c r="F2" s="91"/>
      <c r="G2" s="91"/>
      <c r="H2" s="91"/>
      <c r="I2" s="91"/>
      <c r="J2" s="91"/>
      <c r="K2" s="91"/>
      <c r="L2" s="91"/>
      <c r="M2" t="s">
        <v>753</v>
      </c>
    </row>
    <row r="3" spans="1:12" ht="12.75">
      <c r="A3" s="91">
        <v>1</v>
      </c>
      <c r="B3" s="92">
        <f>859/12</f>
        <v>71.58333333333333</v>
      </c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ht="12.75">
      <c r="A4" s="91">
        <v>2</v>
      </c>
      <c r="B4" s="92">
        <f aca="true" t="shared" si="0" ref="B4:B67">B3+1/12</f>
        <v>71.66666666666666</v>
      </c>
      <c r="C4" s="96"/>
      <c r="D4" s="91"/>
      <c r="E4" s="91"/>
      <c r="F4" s="91"/>
      <c r="G4" s="91"/>
      <c r="H4" s="91"/>
      <c r="I4" s="91"/>
      <c r="J4" s="91"/>
      <c r="K4" s="91"/>
      <c r="L4" s="91"/>
    </row>
    <row r="5" spans="1:12" ht="12.75">
      <c r="A5" s="91">
        <v>3</v>
      </c>
      <c r="B5" s="92">
        <f t="shared" si="0"/>
        <v>71.74999999999999</v>
      </c>
      <c r="C5" s="96"/>
      <c r="D5" s="91"/>
      <c r="E5" s="91"/>
      <c r="F5" s="91"/>
      <c r="G5" s="91"/>
      <c r="H5" s="91"/>
      <c r="I5" s="91"/>
      <c r="J5" s="91"/>
      <c r="K5" s="91"/>
      <c r="L5" s="91"/>
    </row>
    <row r="6" spans="1:12" ht="12.75">
      <c r="A6" s="91">
        <v>4</v>
      </c>
      <c r="B6" s="92">
        <f t="shared" si="0"/>
        <v>71.83333333333331</v>
      </c>
      <c r="C6" s="96"/>
      <c r="D6" s="91"/>
      <c r="E6" s="91"/>
      <c r="F6" s="91"/>
      <c r="G6" s="91"/>
      <c r="H6" s="91"/>
      <c r="I6" s="91"/>
      <c r="J6" s="91"/>
      <c r="K6" s="91"/>
      <c r="L6" s="91"/>
    </row>
    <row r="7" spans="1:12" ht="12.75">
      <c r="A7" s="91">
        <v>5</v>
      </c>
      <c r="B7" s="92">
        <f t="shared" si="0"/>
        <v>71.91666666666664</v>
      </c>
      <c r="C7" s="96"/>
      <c r="D7" s="91"/>
      <c r="E7" s="91"/>
      <c r="F7" s="91"/>
      <c r="G7" s="91"/>
      <c r="H7" s="91"/>
      <c r="I7" s="91"/>
      <c r="J7" s="91"/>
      <c r="K7" s="91"/>
      <c r="L7" s="91"/>
    </row>
    <row r="8" spans="1:12" ht="12.75">
      <c r="A8" s="93">
        <v>6</v>
      </c>
      <c r="B8" s="92">
        <f t="shared" si="0"/>
        <v>71.99999999999997</v>
      </c>
      <c r="C8" s="96"/>
      <c r="D8" s="91"/>
      <c r="E8" s="91"/>
      <c r="F8" s="91"/>
      <c r="G8" s="91"/>
      <c r="H8" s="91"/>
      <c r="I8" s="91"/>
      <c r="J8" s="91"/>
      <c r="K8" s="91"/>
      <c r="L8" s="91"/>
    </row>
    <row r="9" spans="1:12" ht="12.75">
      <c r="A9" s="93">
        <v>7</v>
      </c>
      <c r="B9" s="92">
        <f t="shared" si="0"/>
        <v>72.0833333333333</v>
      </c>
      <c r="C9" s="96"/>
      <c r="D9" s="91"/>
      <c r="E9" s="91"/>
      <c r="F9" s="91"/>
      <c r="G9" s="91"/>
      <c r="H9" s="91"/>
      <c r="I9" s="91"/>
      <c r="J9" s="91"/>
      <c r="K9" s="91"/>
      <c r="L9" s="91"/>
    </row>
    <row r="10" spans="1:12" ht="12.75">
      <c r="A10" s="93">
        <v>8</v>
      </c>
      <c r="B10" s="92">
        <f t="shared" si="0"/>
        <v>72.16666666666663</v>
      </c>
      <c r="C10" s="96"/>
      <c r="D10" s="91"/>
      <c r="E10" s="91"/>
      <c r="F10" s="91"/>
      <c r="G10" s="91"/>
      <c r="H10" s="91"/>
      <c r="I10" s="91"/>
      <c r="J10" s="91"/>
      <c r="K10" s="91"/>
      <c r="L10" s="91"/>
    </row>
    <row r="11" spans="1:12" ht="12.75">
      <c r="A11" s="93">
        <v>9</v>
      </c>
      <c r="B11" s="92">
        <f t="shared" si="0"/>
        <v>72.24999999999996</v>
      </c>
      <c r="C11" s="96"/>
      <c r="D11" s="91"/>
      <c r="E11" s="91"/>
      <c r="F11" s="91"/>
      <c r="G11" s="91"/>
      <c r="H11" s="91"/>
      <c r="I11" s="91"/>
      <c r="J11" s="91"/>
      <c r="K11" s="91"/>
      <c r="L11" s="91"/>
    </row>
    <row r="12" spans="1:12" ht="12.75">
      <c r="A12" s="93">
        <v>10</v>
      </c>
      <c r="B12" s="92">
        <f t="shared" si="0"/>
        <v>72.33333333333329</v>
      </c>
      <c r="C12" s="96"/>
      <c r="D12" s="91"/>
      <c r="E12" s="91"/>
      <c r="F12" s="91"/>
      <c r="G12" s="91"/>
      <c r="H12" s="91"/>
      <c r="I12" s="91"/>
      <c r="J12" s="91"/>
      <c r="K12" s="91"/>
      <c r="L12" s="91"/>
    </row>
    <row r="13" spans="1:12" ht="12.75">
      <c r="A13" s="93" t="s">
        <v>319</v>
      </c>
      <c r="B13" s="92">
        <f t="shared" si="0"/>
        <v>72.41666666666661</v>
      </c>
      <c r="C13" s="96">
        <v>3.9</v>
      </c>
      <c r="D13" s="91"/>
      <c r="E13" s="91"/>
      <c r="F13" s="91"/>
      <c r="G13" s="91"/>
      <c r="H13" s="91"/>
      <c r="I13" s="91"/>
      <c r="J13" s="91"/>
      <c r="K13" s="91"/>
      <c r="L13" s="91"/>
    </row>
    <row r="14" spans="1:12" ht="12.75">
      <c r="A14" s="93" t="s">
        <v>320</v>
      </c>
      <c r="B14" s="92">
        <f t="shared" si="0"/>
        <v>72.49999999999994</v>
      </c>
      <c r="C14" s="96">
        <v>4</v>
      </c>
      <c r="D14" s="91"/>
      <c r="E14" s="91"/>
      <c r="F14" s="91"/>
      <c r="G14" s="91"/>
      <c r="H14" s="91"/>
      <c r="I14" s="91"/>
      <c r="J14" s="91"/>
      <c r="K14" s="91"/>
      <c r="L14" s="91"/>
    </row>
    <row r="15" spans="1:12" ht="12.75">
      <c r="A15" s="91" t="s">
        <v>321</v>
      </c>
      <c r="B15" s="92">
        <f t="shared" si="0"/>
        <v>72.58333333333327</v>
      </c>
      <c r="C15" s="96">
        <v>4.1</v>
      </c>
      <c r="D15" s="91"/>
      <c r="E15" s="91"/>
      <c r="F15" s="91"/>
      <c r="G15" s="91"/>
      <c r="H15" s="91"/>
      <c r="I15" s="91"/>
      <c r="J15" s="91"/>
      <c r="K15" s="91"/>
      <c r="L15" s="91"/>
    </row>
    <row r="16" spans="1:12" ht="12.75">
      <c r="A16" s="91" t="s">
        <v>322</v>
      </c>
      <c r="B16" s="92">
        <f t="shared" si="0"/>
        <v>72.6666666666666</v>
      </c>
      <c r="C16" s="96">
        <v>4.2</v>
      </c>
      <c r="D16" s="91"/>
      <c r="E16" s="91"/>
      <c r="F16" s="91"/>
      <c r="G16" s="91"/>
      <c r="H16" s="91"/>
      <c r="I16" s="91"/>
      <c r="J16" s="91"/>
      <c r="K16" s="91"/>
      <c r="L16" s="91"/>
    </row>
    <row r="17" spans="1:12" ht="12.75">
      <c r="A17" s="91" t="s">
        <v>323</v>
      </c>
      <c r="B17" s="92">
        <f t="shared" si="0"/>
        <v>72.74999999999993</v>
      </c>
      <c r="C17" s="96">
        <v>4.5</v>
      </c>
      <c r="D17" s="91"/>
      <c r="E17" s="91"/>
      <c r="F17" s="91"/>
      <c r="G17" s="91"/>
      <c r="H17" s="91"/>
      <c r="I17" s="91"/>
      <c r="J17" s="91"/>
      <c r="K17" s="91"/>
      <c r="L17" s="91"/>
    </row>
    <row r="18" spans="1:12" ht="12.75">
      <c r="A18" s="91" t="s">
        <v>324</v>
      </c>
      <c r="B18" s="92">
        <f t="shared" si="0"/>
        <v>72.83333333333326</v>
      </c>
      <c r="C18" s="96">
        <v>5</v>
      </c>
      <c r="D18" s="91"/>
      <c r="E18" s="91"/>
      <c r="F18" s="91"/>
      <c r="G18" s="91"/>
      <c r="H18" s="91"/>
      <c r="I18" s="91"/>
      <c r="J18" s="91"/>
      <c r="K18" s="91"/>
      <c r="L18" s="91"/>
    </row>
    <row r="19" spans="1:12" ht="12.75">
      <c r="A19" s="91" t="s">
        <v>325</v>
      </c>
      <c r="B19" s="92">
        <f t="shared" si="0"/>
        <v>72.91666666666659</v>
      </c>
      <c r="C19" s="96">
        <v>6</v>
      </c>
      <c r="D19" s="91"/>
      <c r="E19" s="91"/>
      <c r="F19" s="91"/>
      <c r="G19" s="91"/>
      <c r="H19" s="91"/>
      <c r="I19" s="91"/>
      <c r="J19" s="91"/>
      <c r="K19" s="91"/>
      <c r="L19" s="91"/>
    </row>
    <row r="20" spans="1:12" ht="12.75">
      <c r="A20" s="91" t="s">
        <v>326</v>
      </c>
      <c r="B20" s="92">
        <f t="shared" si="0"/>
        <v>72.99999999999991</v>
      </c>
      <c r="C20" s="96">
        <v>11</v>
      </c>
      <c r="D20" s="91"/>
      <c r="E20" s="91"/>
      <c r="F20" s="91"/>
      <c r="G20" s="91"/>
      <c r="H20" s="91"/>
      <c r="I20" s="91"/>
      <c r="J20" s="91"/>
      <c r="K20" s="91"/>
      <c r="L20" s="91"/>
    </row>
    <row r="21" spans="1:12" ht="12.75">
      <c r="A21" s="91" t="s">
        <v>327</v>
      </c>
      <c r="B21" s="92">
        <f t="shared" si="0"/>
        <v>73.08333333333324</v>
      </c>
      <c r="C21" s="96">
        <v>16</v>
      </c>
      <c r="D21" s="91"/>
      <c r="E21" s="91"/>
      <c r="F21" s="91"/>
      <c r="G21" s="91"/>
      <c r="H21" s="91"/>
      <c r="I21" s="91"/>
      <c r="J21" s="91"/>
      <c r="K21" s="91"/>
      <c r="L21" s="91"/>
    </row>
    <row r="22" spans="1:12" ht="12.75">
      <c r="A22" s="91" t="s">
        <v>328</v>
      </c>
      <c r="B22" s="92">
        <f t="shared" si="0"/>
        <v>73.16666666666657</v>
      </c>
      <c r="C22" s="96">
        <v>19</v>
      </c>
      <c r="D22" s="91"/>
      <c r="E22" s="91"/>
      <c r="F22" s="91"/>
      <c r="G22" s="91"/>
      <c r="H22" s="91"/>
      <c r="I22" s="91"/>
      <c r="J22" s="91"/>
      <c r="K22" s="91"/>
      <c r="L22" s="91"/>
    </row>
    <row r="23" spans="1:12" ht="12.75">
      <c r="A23" s="91" t="s">
        <v>329</v>
      </c>
      <c r="B23" s="92">
        <f t="shared" si="0"/>
        <v>73.2499999999999</v>
      </c>
      <c r="C23" s="96">
        <v>14.5</v>
      </c>
      <c r="D23" s="91"/>
      <c r="E23" s="91"/>
      <c r="F23" s="91"/>
      <c r="G23" s="91"/>
      <c r="H23" s="91"/>
      <c r="I23" s="91"/>
      <c r="J23" s="91"/>
      <c r="K23" s="91"/>
      <c r="L23" s="91"/>
    </row>
    <row r="24" spans="1:12" ht="12.75">
      <c r="A24" s="91" t="s">
        <v>330</v>
      </c>
      <c r="B24" s="92">
        <f t="shared" si="0"/>
        <v>73.33333333333323</v>
      </c>
      <c r="C24" s="96">
        <v>14</v>
      </c>
      <c r="D24" s="91"/>
      <c r="E24" s="91"/>
      <c r="F24" s="91"/>
      <c r="G24" s="91"/>
      <c r="H24" s="91"/>
      <c r="I24" s="91"/>
      <c r="J24" s="91"/>
      <c r="K24" s="91"/>
      <c r="L24" s="91"/>
    </row>
    <row r="25" spans="1:12" ht="12.75">
      <c r="A25" s="91" t="s">
        <v>331</v>
      </c>
      <c r="B25" s="92">
        <f t="shared" si="0"/>
        <v>73.41666666666656</v>
      </c>
      <c r="C25" s="96">
        <v>13.5</v>
      </c>
      <c r="D25" s="91"/>
      <c r="E25" s="91"/>
      <c r="F25" s="91"/>
      <c r="G25" s="91"/>
      <c r="H25" s="91"/>
      <c r="I25" s="91"/>
      <c r="J25" s="91"/>
      <c r="K25" s="91"/>
      <c r="L25" s="91"/>
    </row>
    <row r="26" spans="1:12" ht="12.75">
      <c r="A26" s="91" t="s">
        <v>332</v>
      </c>
      <c r="B26" s="92">
        <f t="shared" si="0"/>
        <v>73.49999999999989</v>
      </c>
      <c r="C26" s="96">
        <v>13.3</v>
      </c>
      <c r="D26" s="91"/>
      <c r="E26" s="91"/>
      <c r="F26" s="91"/>
      <c r="G26" s="91"/>
      <c r="H26" s="91"/>
      <c r="I26" s="91"/>
      <c r="J26" s="91"/>
      <c r="K26" s="91"/>
      <c r="L26" s="91"/>
    </row>
    <row r="27" spans="1:12" ht="12.75">
      <c r="A27" s="91" t="s">
        <v>333</v>
      </c>
      <c r="B27" s="92">
        <f t="shared" si="0"/>
        <v>73.58333333333321</v>
      </c>
      <c r="C27" s="96">
        <v>13.0857705977383</v>
      </c>
      <c r="D27" s="91">
        <v>95.2</v>
      </c>
      <c r="E27" s="91">
        <v>93.7545</v>
      </c>
      <c r="F27" s="91">
        <v>93.7908</v>
      </c>
      <c r="G27" s="91">
        <v>93.755</v>
      </c>
      <c r="H27" s="91">
        <v>0</v>
      </c>
      <c r="I27" s="91">
        <v>0</v>
      </c>
      <c r="J27" s="91">
        <v>0</v>
      </c>
      <c r="K27" s="91">
        <v>0</v>
      </c>
      <c r="L27" s="91">
        <v>4001200</v>
      </c>
    </row>
    <row r="28" spans="1:12" ht="12.75">
      <c r="A28" s="91" t="s">
        <v>334</v>
      </c>
      <c r="B28" s="92">
        <f t="shared" si="0"/>
        <v>73.66666666666654</v>
      </c>
      <c r="C28" s="96">
        <v>13.1132617124394</v>
      </c>
      <c r="D28" s="91">
        <v>95.4</v>
      </c>
      <c r="E28" s="91">
        <v>94.6133</v>
      </c>
      <c r="F28" s="91">
        <v>94.595</v>
      </c>
      <c r="G28" s="91">
        <v>94.613</v>
      </c>
      <c r="H28" s="91">
        <v>0</v>
      </c>
      <c r="I28" s="91">
        <v>0</v>
      </c>
      <c r="J28" s="91">
        <v>0</v>
      </c>
      <c r="K28" s="91">
        <v>0</v>
      </c>
      <c r="L28" s="91"/>
    </row>
    <row r="29" spans="1:12" ht="12.75">
      <c r="A29" s="91" t="s">
        <v>335</v>
      </c>
      <c r="B29" s="92">
        <f t="shared" si="0"/>
        <v>73.74999999999987</v>
      </c>
      <c r="C29" s="96">
        <v>13.1544983844911</v>
      </c>
      <c r="D29" s="91">
        <v>95.7</v>
      </c>
      <c r="E29" s="91">
        <v>95.3363</v>
      </c>
      <c r="F29" s="91">
        <v>95.4193</v>
      </c>
      <c r="G29" s="91">
        <v>95.336</v>
      </c>
      <c r="H29" s="91">
        <v>0</v>
      </c>
      <c r="I29" s="91">
        <v>0</v>
      </c>
      <c r="J29" s="91">
        <v>0</v>
      </c>
      <c r="K29" s="91">
        <v>0</v>
      </c>
      <c r="L29" s="91"/>
    </row>
    <row r="30" spans="1:12" ht="12.75">
      <c r="A30" s="91" t="s">
        <v>336</v>
      </c>
      <c r="B30" s="92">
        <f t="shared" si="0"/>
        <v>73.8333333333332</v>
      </c>
      <c r="C30" s="96">
        <v>13.2094806138934</v>
      </c>
      <c r="D30" s="91">
        <v>96.1</v>
      </c>
      <c r="E30" s="91">
        <v>96.2239</v>
      </c>
      <c r="F30" s="91">
        <v>96.2535</v>
      </c>
      <c r="G30" s="91">
        <v>96.224</v>
      </c>
      <c r="H30" s="91">
        <v>0</v>
      </c>
      <c r="I30" s="91">
        <v>0</v>
      </c>
      <c r="J30" s="91">
        <v>0</v>
      </c>
      <c r="K30" s="91">
        <v>0</v>
      </c>
      <c r="L30" s="91"/>
    </row>
    <row r="31" spans="1:12" ht="12.75">
      <c r="A31" s="91" t="s">
        <v>337</v>
      </c>
      <c r="B31" s="92">
        <f t="shared" si="0"/>
        <v>73.91666666666653</v>
      </c>
      <c r="C31" s="96">
        <v>13.3056995153473</v>
      </c>
      <c r="D31" s="91">
        <v>96.8</v>
      </c>
      <c r="E31" s="91">
        <v>97.1934</v>
      </c>
      <c r="F31" s="91">
        <v>97.0001</v>
      </c>
      <c r="G31" s="91">
        <v>97.193</v>
      </c>
      <c r="H31" s="91">
        <v>0</v>
      </c>
      <c r="I31" s="91">
        <v>0</v>
      </c>
      <c r="J31" s="91">
        <v>0</v>
      </c>
      <c r="K31" s="91">
        <v>0</v>
      </c>
      <c r="L31" s="91"/>
    </row>
    <row r="32" spans="1:12" ht="12.75">
      <c r="A32" s="91" t="s">
        <v>338</v>
      </c>
      <c r="B32" s="92">
        <f t="shared" si="0"/>
        <v>73.99999999999986</v>
      </c>
      <c r="C32" s="96">
        <v>13.2782084006462</v>
      </c>
      <c r="D32" s="91">
        <v>96.6</v>
      </c>
      <c r="E32" s="91">
        <v>97.4878</v>
      </c>
      <c r="F32" s="91">
        <v>97.5265</v>
      </c>
      <c r="G32" s="91">
        <v>97.488</v>
      </c>
      <c r="H32" s="91">
        <v>0</v>
      </c>
      <c r="I32" s="91">
        <v>0</v>
      </c>
      <c r="J32" s="91">
        <v>0</v>
      </c>
      <c r="K32" s="91">
        <v>0</v>
      </c>
      <c r="L32" s="91"/>
    </row>
    <row r="33" spans="1:12" ht="12.75">
      <c r="A33" s="91" t="s">
        <v>339</v>
      </c>
      <c r="B33" s="92">
        <f t="shared" si="0"/>
        <v>74.08333333333319</v>
      </c>
      <c r="C33" s="96">
        <f aca="true" t="shared" si="1" ref="C33:C64">D33/D34*C34</f>
        <v>13.4019184168013</v>
      </c>
      <c r="D33" s="91">
        <v>97.5</v>
      </c>
      <c r="E33" s="91">
        <v>98.0068</v>
      </c>
      <c r="F33" s="91">
        <v>97.856</v>
      </c>
      <c r="G33" s="91">
        <v>98.007</v>
      </c>
      <c r="H33" s="91">
        <v>0</v>
      </c>
      <c r="I33" s="91">
        <v>0</v>
      </c>
      <c r="J33" s="91">
        <v>0</v>
      </c>
      <c r="K33" s="91">
        <v>0</v>
      </c>
      <c r="L33" s="91"/>
    </row>
    <row r="34" spans="1:12" ht="12.75">
      <c r="A34" s="91" t="s">
        <v>340</v>
      </c>
      <c r="B34" s="92">
        <f t="shared" si="0"/>
        <v>74.16666666666652</v>
      </c>
      <c r="C34" s="96">
        <f t="shared" si="1"/>
        <v>13.374427302100168</v>
      </c>
      <c r="D34" s="91">
        <v>97.3</v>
      </c>
      <c r="E34" s="91">
        <v>97.8679</v>
      </c>
      <c r="F34" s="91">
        <v>98.1302</v>
      </c>
      <c r="G34" s="91">
        <v>97.868</v>
      </c>
      <c r="H34" s="91">
        <v>0</v>
      </c>
      <c r="I34" s="91">
        <v>0</v>
      </c>
      <c r="J34" s="91">
        <v>0</v>
      </c>
      <c r="K34" s="91">
        <v>0</v>
      </c>
      <c r="L34" s="91"/>
    </row>
    <row r="35" spans="1:12" ht="12.75">
      <c r="A35" s="91" t="s">
        <v>341</v>
      </c>
      <c r="B35" s="92">
        <f t="shared" si="0"/>
        <v>74.24999999999984</v>
      </c>
      <c r="C35" s="96">
        <f t="shared" si="1"/>
        <v>13.456900646203561</v>
      </c>
      <c r="D35" s="91">
        <v>97.9</v>
      </c>
      <c r="E35" s="91">
        <v>98.3864</v>
      </c>
      <c r="F35" s="91">
        <v>98.4321</v>
      </c>
      <c r="G35" s="91">
        <v>98.387</v>
      </c>
      <c r="H35" s="91">
        <v>0</v>
      </c>
      <c r="I35" s="91">
        <v>0</v>
      </c>
      <c r="J35" s="91">
        <v>0</v>
      </c>
      <c r="K35" s="91">
        <v>0</v>
      </c>
      <c r="L35" s="91"/>
    </row>
    <row r="36" spans="1:12" ht="12.75">
      <c r="A36" s="91" t="s">
        <v>342</v>
      </c>
      <c r="B36" s="92">
        <f t="shared" si="0"/>
        <v>74.33333333333317</v>
      </c>
      <c r="C36" s="96">
        <f t="shared" si="1"/>
        <v>13.525628432956388</v>
      </c>
      <c r="D36" s="91">
        <v>98.4</v>
      </c>
      <c r="E36" s="91">
        <v>98.6209</v>
      </c>
      <c r="F36" s="91">
        <v>98.6577</v>
      </c>
      <c r="G36" s="91">
        <v>98.621</v>
      </c>
      <c r="H36" s="91">
        <v>0</v>
      </c>
      <c r="I36" s="91">
        <v>0</v>
      </c>
      <c r="J36" s="91">
        <v>0</v>
      </c>
      <c r="K36" s="91">
        <v>0</v>
      </c>
      <c r="L36" s="91"/>
    </row>
    <row r="37" spans="1:12" ht="12.75">
      <c r="A37" s="91" t="s">
        <v>343</v>
      </c>
      <c r="B37" s="92">
        <f t="shared" si="0"/>
        <v>74.4166666666665</v>
      </c>
      <c r="C37" s="96">
        <f t="shared" si="1"/>
        <v>13.58061066235865</v>
      </c>
      <c r="D37" s="91">
        <v>98.8</v>
      </c>
      <c r="E37" s="91">
        <v>99.0978</v>
      </c>
      <c r="F37" s="91">
        <v>98.6366</v>
      </c>
      <c r="G37" s="91">
        <v>99.098</v>
      </c>
      <c r="H37" s="91">
        <v>0</v>
      </c>
      <c r="I37" s="91">
        <v>0</v>
      </c>
      <c r="J37" s="91">
        <v>0</v>
      </c>
      <c r="K37" s="91">
        <v>0</v>
      </c>
      <c r="L37" s="91"/>
    </row>
    <row r="38" spans="1:12" ht="12.75">
      <c r="A38" s="91" t="s">
        <v>344</v>
      </c>
      <c r="B38" s="92">
        <f t="shared" si="0"/>
        <v>74.49999999999983</v>
      </c>
      <c r="C38" s="96">
        <f t="shared" si="1"/>
        <v>13.608101777059781</v>
      </c>
      <c r="D38" s="91">
        <v>99</v>
      </c>
      <c r="E38" s="91">
        <v>98.3412</v>
      </c>
      <c r="F38" s="91">
        <v>98.3941</v>
      </c>
      <c r="G38" s="91">
        <v>98.341</v>
      </c>
      <c r="H38" s="91">
        <v>0</v>
      </c>
      <c r="I38" s="91">
        <v>0</v>
      </c>
      <c r="J38" s="91">
        <v>0</v>
      </c>
      <c r="K38" s="91">
        <v>0</v>
      </c>
      <c r="L38" s="91"/>
    </row>
    <row r="39" spans="1:12" ht="12.75">
      <c r="A39" s="91" t="s">
        <v>345</v>
      </c>
      <c r="B39" s="92">
        <f t="shared" si="0"/>
        <v>74.58333333333316</v>
      </c>
      <c r="C39" s="96">
        <f t="shared" si="1"/>
        <v>13.649338449111477</v>
      </c>
      <c r="D39" s="91">
        <v>99.3</v>
      </c>
      <c r="E39" s="91">
        <v>97.8077</v>
      </c>
      <c r="F39" s="91">
        <v>98.0833</v>
      </c>
      <c r="G39" s="91">
        <v>97.808</v>
      </c>
      <c r="H39" s="91">
        <v>0</v>
      </c>
      <c r="I39" s="91">
        <v>0</v>
      </c>
      <c r="J39" s="91">
        <v>0</v>
      </c>
      <c r="K39" s="91">
        <v>0</v>
      </c>
      <c r="L39" s="91"/>
    </row>
    <row r="40" spans="1:12" ht="12.75">
      <c r="A40" s="91" t="s">
        <v>346</v>
      </c>
      <c r="B40" s="92">
        <f t="shared" si="0"/>
        <v>74.66666666666649</v>
      </c>
      <c r="C40" s="96">
        <f t="shared" si="1"/>
        <v>13.553119547657518</v>
      </c>
      <c r="D40" s="91">
        <v>98.6</v>
      </c>
      <c r="E40" s="91">
        <v>97.785</v>
      </c>
      <c r="F40" s="91">
        <v>97.9191</v>
      </c>
      <c r="G40" s="91">
        <v>97.785</v>
      </c>
      <c r="H40" s="91">
        <v>0</v>
      </c>
      <c r="I40" s="91">
        <v>0</v>
      </c>
      <c r="J40" s="91">
        <v>0</v>
      </c>
      <c r="K40" s="91">
        <v>0</v>
      </c>
      <c r="L40" s="91"/>
    </row>
    <row r="41" spans="1:12" ht="12.75">
      <c r="A41" s="91" t="s">
        <v>347</v>
      </c>
      <c r="B41" s="92">
        <f t="shared" si="0"/>
        <v>74.74999999999982</v>
      </c>
      <c r="C41" s="96">
        <f t="shared" si="1"/>
        <v>13.553119547657518</v>
      </c>
      <c r="D41" s="91">
        <v>98.6</v>
      </c>
      <c r="E41" s="91">
        <v>98.215</v>
      </c>
      <c r="F41" s="91">
        <v>98.0205</v>
      </c>
      <c r="G41" s="91">
        <v>98.215</v>
      </c>
      <c r="H41" s="91">
        <v>0</v>
      </c>
      <c r="I41" s="91">
        <v>0</v>
      </c>
      <c r="J41" s="91">
        <v>0</v>
      </c>
      <c r="K41" s="91">
        <v>0</v>
      </c>
      <c r="L41" s="91"/>
    </row>
    <row r="42" spans="1:11" ht="12.75">
      <c r="A42" s="91" t="s">
        <v>348</v>
      </c>
      <c r="B42" s="92">
        <f t="shared" si="0"/>
        <v>74.83333333333314</v>
      </c>
      <c r="C42" s="96">
        <f t="shared" si="1"/>
        <v>13.48439176090469</v>
      </c>
      <c r="D42" s="91">
        <v>98.1</v>
      </c>
      <c r="E42" s="91">
        <v>98.195</v>
      </c>
      <c r="F42" s="91">
        <v>98.2396</v>
      </c>
      <c r="G42" s="91">
        <v>98.195</v>
      </c>
      <c r="H42" s="91">
        <v>0</v>
      </c>
      <c r="I42" s="91">
        <v>0</v>
      </c>
      <c r="J42" s="91">
        <v>0</v>
      </c>
      <c r="K42" s="91">
        <v>0</v>
      </c>
    </row>
    <row r="43" spans="1:11" ht="12.75">
      <c r="A43" s="91" t="s">
        <v>349</v>
      </c>
      <c r="B43" s="92">
        <f t="shared" si="0"/>
        <v>74.91666666666647</v>
      </c>
      <c r="C43" s="96">
        <f t="shared" si="1"/>
        <v>13.48439176090469</v>
      </c>
      <c r="D43" s="91">
        <v>98.1</v>
      </c>
      <c r="E43" s="91">
        <v>98.4682</v>
      </c>
      <c r="F43" s="91">
        <v>98.407</v>
      </c>
      <c r="G43" s="91">
        <v>98.468</v>
      </c>
      <c r="H43" s="91">
        <v>0</v>
      </c>
      <c r="I43" s="91">
        <v>0</v>
      </c>
      <c r="J43" s="91">
        <v>0</v>
      </c>
      <c r="K43" s="91">
        <v>0</v>
      </c>
    </row>
    <row r="44" spans="1:11" ht="12.75">
      <c r="A44" s="91" t="s">
        <v>350</v>
      </c>
      <c r="B44" s="92">
        <f t="shared" si="0"/>
        <v>74.9999999999998</v>
      </c>
      <c r="C44" s="96">
        <f t="shared" si="1"/>
        <v>13.48439176090469</v>
      </c>
      <c r="D44" s="91">
        <v>98.1</v>
      </c>
      <c r="E44" s="91">
        <v>98.9436</v>
      </c>
      <c r="F44" s="91">
        <v>98.6076</v>
      </c>
      <c r="G44" s="91">
        <v>98.944</v>
      </c>
      <c r="H44" s="91">
        <v>0</v>
      </c>
      <c r="I44" s="91">
        <v>0</v>
      </c>
      <c r="J44" s="91">
        <v>0</v>
      </c>
      <c r="K44" s="91">
        <v>0</v>
      </c>
    </row>
    <row r="45" spans="1:11" ht="12.75">
      <c r="A45" s="91" t="s">
        <v>351</v>
      </c>
      <c r="B45" s="92">
        <f t="shared" si="0"/>
        <v>75.08333333333313</v>
      </c>
      <c r="C45" s="96">
        <f t="shared" si="1"/>
        <v>13.42940953150243</v>
      </c>
      <c r="D45" s="91">
        <v>97.7</v>
      </c>
      <c r="E45" s="91">
        <v>98.1069</v>
      </c>
      <c r="F45" s="91">
        <v>99.053</v>
      </c>
      <c r="G45" s="91">
        <v>98.107</v>
      </c>
      <c r="H45" s="91">
        <v>0</v>
      </c>
      <c r="I45" s="91">
        <v>0</v>
      </c>
      <c r="J45" s="91">
        <v>0</v>
      </c>
      <c r="K45" s="91">
        <v>0</v>
      </c>
    </row>
    <row r="46" spans="1:11" ht="12.75">
      <c r="A46" s="91" t="s">
        <v>352</v>
      </c>
      <c r="B46" s="92">
        <f t="shared" si="0"/>
        <v>75.16666666666646</v>
      </c>
      <c r="C46" s="96">
        <f t="shared" si="1"/>
        <v>13.388172859450732</v>
      </c>
      <c r="D46" s="91">
        <v>97.4</v>
      </c>
      <c r="E46" s="91">
        <v>97.9084</v>
      </c>
      <c r="F46" s="91">
        <v>99.8688</v>
      </c>
      <c r="G46" s="91">
        <v>99.869</v>
      </c>
      <c r="H46" s="91">
        <v>0</v>
      </c>
      <c r="I46" s="91">
        <v>0</v>
      </c>
      <c r="J46" s="91">
        <v>0</v>
      </c>
      <c r="K46" s="91">
        <v>0</v>
      </c>
    </row>
    <row r="47" spans="1:11" ht="12.75">
      <c r="A47" s="91" t="s">
        <v>353</v>
      </c>
      <c r="B47" s="92">
        <f t="shared" si="0"/>
        <v>75.24999999999979</v>
      </c>
      <c r="C47" s="96">
        <f t="shared" si="1"/>
        <v>13.388172859450732</v>
      </c>
      <c r="D47" s="91">
        <v>97.4</v>
      </c>
      <c r="E47" s="91">
        <v>97.8769</v>
      </c>
      <c r="F47" s="91">
        <v>101.0801</v>
      </c>
      <c r="G47" s="91">
        <v>101.08</v>
      </c>
      <c r="H47" s="91">
        <v>0</v>
      </c>
      <c r="I47" s="91">
        <v>0</v>
      </c>
      <c r="J47" s="91">
        <v>0</v>
      </c>
      <c r="K47" s="91">
        <v>0</v>
      </c>
    </row>
    <row r="48" spans="1:11" ht="12.75">
      <c r="A48" s="91" t="s">
        <v>354</v>
      </c>
      <c r="B48" s="92">
        <f t="shared" si="0"/>
        <v>75.33333333333312</v>
      </c>
      <c r="C48" s="96">
        <f t="shared" si="1"/>
        <v>14.529054119547663</v>
      </c>
      <c r="D48" s="91">
        <v>105.7</v>
      </c>
      <c r="E48" s="91">
        <v>105.943</v>
      </c>
      <c r="F48" s="91">
        <v>102.4301</v>
      </c>
      <c r="G48" s="91">
        <v>102.43</v>
      </c>
      <c r="H48" s="91">
        <v>0</v>
      </c>
      <c r="I48" s="91">
        <v>0</v>
      </c>
      <c r="J48" s="91">
        <v>0</v>
      </c>
      <c r="K48" s="91">
        <v>0</v>
      </c>
    </row>
    <row r="49" spans="1:11" ht="12.75">
      <c r="A49" s="91" t="s">
        <v>355</v>
      </c>
      <c r="B49" s="92">
        <f t="shared" si="0"/>
        <v>75.41666666666644</v>
      </c>
      <c r="C49" s="96">
        <f t="shared" si="1"/>
        <v>14.529054119547663</v>
      </c>
      <c r="D49" s="91">
        <v>105.7</v>
      </c>
      <c r="E49" s="91">
        <v>106.0545</v>
      </c>
      <c r="F49" s="91">
        <v>103.5555</v>
      </c>
      <c r="G49" s="91">
        <v>103.556</v>
      </c>
      <c r="H49" s="91">
        <v>0</v>
      </c>
      <c r="I49" s="91">
        <v>0</v>
      </c>
      <c r="J49" s="91">
        <v>0</v>
      </c>
      <c r="K49" s="91">
        <v>0</v>
      </c>
    </row>
    <row r="50" spans="1:11" ht="12.75">
      <c r="A50" s="91" t="s">
        <v>356</v>
      </c>
      <c r="B50" s="92">
        <f t="shared" si="0"/>
        <v>75.49999999999977</v>
      </c>
      <c r="C50" s="96">
        <f t="shared" si="1"/>
        <v>14.501563004846531</v>
      </c>
      <c r="D50" s="91">
        <v>105.5</v>
      </c>
      <c r="E50" s="91">
        <v>104.9661</v>
      </c>
      <c r="F50" s="91">
        <v>104.2619</v>
      </c>
      <c r="G50" s="91">
        <v>104.966</v>
      </c>
      <c r="H50" s="91">
        <v>0</v>
      </c>
      <c r="I50" s="91">
        <v>0</v>
      </c>
      <c r="J50" s="91">
        <v>0</v>
      </c>
      <c r="K50" s="91">
        <v>0</v>
      </c>
    </row>
    <row r="51" spans="1:11" ht="12.75">
      <c r="A51" s="91" t="s">
        <v>357</v>
      </c>
      <c r="B51" s="92">
        <f t="shared" si="0"/>
        <v>75.5833333333331</v>
      </c>
      <c r="C51" s="96">
        <f t="shared" si="1"/>
        <v>14.542799676898229</v>
      </c>
      <c r="D51" s="91">
        <v>105.8</v>
      </c>
      <c r="E51" s="91">
        <v>104.2515</v>
      </c>
      <c r="F51" s="91">
        <v>104.6899</v>
      </c>
      <c r="G51" s="91">
        <v>104.252</v>
      </c>
      <c r="H51" s="91">
        <v>0</v>
      </c>
      <c r="I51" s="91">
        <v>0</v>
      </c>
      <c r="J51" s="91">
        <v>0</v>
      </c>
      <c r="K51" s="91">
        <v>0</v>
      </c>
    </row>
    <row r="52" spans="1:11" ht="12.75">
      <c r="A52" s="91" t="s">
        <v>358</v>
      </c>
      <c r="B52" s="92">
        <f t="shared" si="0"/>
        <v>75.66666666666643</v>
      </c>
      <c r="C52" s="96">
        <f t="shared" si="1"/>
        <v>14.529054119547663</v>
      </c>
      <c r="D52" s="91">
        <v>105.7</v>
      </c>
      <c r="E52" s="91">
        <v>104.9512</v>
      </c>
      <c r="F52" s="91">
        <v>104.9939</v>
      </c>
      <c r="G52" s="91">
        <v>104.951</v>
      </c>
      <c r="H52" s="91">
        <v>0</v>
      </c>
      <c r="I52" s="91">
        <v>0</v>
      </c>
      <c r="J52" s="91">
        <v>0</v>
      </c>
      <c r="K52" s="91">
        <v>0</v>
      </c>
    </row>
    <row r="53" spans="1:11" ht="12.75">
      <c r="A53" s="91" t="s">
        <v>359</v>
      </c>
      <c r="B53" s="92">
        <f t="shared" si="0"/>
        <v>75.74999999999976</v>
      </c>
      <c r="C53" s="96">
        <f t="shared" si="1"/>
        <v>14.529054119547663</v>
      </c>
      <c r="D53" s="91">
        <v>105.7</v>
      </c>
      <c r="E53" s="91">
        <v>105.3128</v>
      </c>
      <c r="F53" s="91">
        <v>105.35</v>
      </c>
      <c r="G53" s="91">
        <v>105.313</v>
      </c>
      <c r="H53" s="91">
        <v>0</v>
      </c>
      <c r="I53" s="91">
        <v>0</v>
      </c>
      <c r="J53" s="91">
        <v>0</v>
      </c>
      <c r="K53" s="91">
        <v>0</v>
      </c>
    </row>
    <row r="54" spans="1:11" ht="12.75">
      <c r="A54" s="91" t="s">
        <v>360</v>
      </c>
      <c r="B54" s="92">
        <f t="shared" si="0"/>
        <v>75.83333333333309</v>
      </c>
      <c r="C54" s="96">
        <f t="shared" si="1"/>
        <v>14.542799676898227</v>
      </c>
      <c r="D54" s="91">
        <v>105.8</v>
      </c>
      <c r="E54" s="91">
        <v>105.8659</v>
      </c>
      <c r="F54" s="91">
        <v>105.7594</v>
      </c>
      <c r="G54" s="91">
        <v>105.866</v>
      </c>
      <c r="H54" s="91">
        <v>0</v>
      </c>
      <c r="I54" s="91">
        <v>0</v>
      </c>
      <c r="J54" s="91">
        <v>0</v>
      </c>
      <c r="K54" s="91">
        <v>0</v>
      </c>
    </row>
    <row r="55" spans="1:11" ht="12.75">
      <c r="A55" s="91" t="s">
        <v>361</v>
      </c>
      <c r="B55" s="92">
        <f t="shared" si="0"/>
        <v>75.91666666666642</v>
      </c>
      <c r="C55" s="96">
        <f t="shared" si="1"/>
        <v>14.542799676898227</v>
      </c>
      <c r="D55" s="91">
        <v>105.8</v>
      </c>
      <c r="E55" s="91">
        <v>106.0812</v>
      </c>
      <c r="F55" s="91">
        <v>106.1089</v>
      </c>
      <c r="G55" s="91">
        <v>106.081</v>
      </c>
      <c r="H55" s="91">
        <v>0</v>
      </c>
      <c r="I55" s="91">
        <v>0</v>
      </c>
      <c r="J55" s="91">
        <v>0</v>
      </c>
      <c r="K55" s="91">
        <v>0</v>
      </c>
    </row>
    <row r="56" spans="1:11" ht="12.75">
      <c r="A56" s="91" t="s">
        <v>362</v>
      </c>
      <c r="B56" s="92">
        <f t="shared" si="0"/>
        <v>75.99999999999974</v>
      </c>
      <c r="C56" s="96">
        <f t="shared" si="1"/>
        <v>14.529054119547661</v>
      </c>
      <c r="D56" s="91">
        <v>105.7</v>
      </c>
      <c r="E56" s="91">
        <v>106.4663</v>
      </c>
      <c r="F56" s="91">
        <v>106.3286</v>
      </c>
      <c r="G56" s="91">
        <v>106.466</v>
      </c>
      <c r="H56" s="91">
        <v>0</v>
      </c>
      <c r="I56" s="91">
        <v>0</v>
      </c>
      <c r="J56" s="91">
        <v>0</v>
      </c>
      <c r="K56" s="91">
        <v>0</v>
      </c>
    </row>
    <row r="57" spans="1:11" ht="12.75">
      <c r="A57" s="91" t="s">
        <v>363</v>
      </c>
      <c r="B57" s="92">
        <f t="shared" si="0"/>
        <v>76.08333333333307</v>
      </c>
      <c r="C57" s="96">
        <f t="shared" si="1"/>
        <v>14.584036348949923</v>
      </c>
      <c r="D57" s="91">
        <v>106.1</v>
      </c>
      <c r="E57" s="91">
        <v>106.3453</v>
      </c>
      <c r="F57" s="91">
        <v>106.5176</v>
      </c>
      <c r="G57" s="91">
        <v>106.345</v>
      </c>
      <c r="H57" s="91">
        <v>0</v>
      </c>
      <c r="I57" s="91">
        <v>0</v>
      </c>
      <c r="J57" s="91">
        <v>0</v>
      </c>
      <c r="K57" s="91">
        <v>0</v>
      </c>
    </row>
    <row r="58" spans="1:11" ht="12.75">
      <c r="A58" s="91" t="s">
        <v>364</v>
      </c>
      <c r="B58" s="92">
        <f t="shared" si="0"/>
        <v>76.1666666666664</v>
      </c>
      <c r="C58" s="96">
        <f t="shared" si="1"/>
        <v>14.611527463651054</v>
      </c>
      <c r="D58" s="91">
        <v>106.3</v>
      </c>
      <c r="E58" s="91">
        <v>106.7015</v>
      </c>
      <c r="F58" s="91">
        <v>106.6308</v>
      </c>
      <c r="G58" s="91">
        <v>106.702</v>
      </c>
      <c r="H58" s="91">
        <v>0</v>
      </c>
      <c r="I58" s="91">
        <v>0</v>
      </c>
      <c r="J58" s="91">
        <v>0</v>
      </c>
      <c r="K58" s="91">
        <v>0</v>
      </c>
    </row>
    <row r="59" spans="1:11" ht="12.75">
      <c r="A59" s="91" t="s">
        <v>365</v>
      </c>
      <c r="B59" s="92">
        <f t="shared" si="0"/>
        <v>76.24999999999973</v>
      </c>
      <c r="C59" s="96">
        <f t="shared" si="1"/>
        <v>14.625273021001622</v>
      </c>
      <c r="D59" s="91">
        <v>106.4</v>
      </c>
      <c r="E59" s="91">
        <v>107.0022</v>
      </c>
      <c r="F59" s="91">
        <v>106.7188</v>
      </c>
      <c r="G59" s="91">
        <v>107.002</v>
      </c>
      <c r="H59" s="91">
        <v>0</v>
      </c>
      <c r="I59" s="91">
        <v>0</v>
      </c>
      <c r="J59" s="91">
        <v>0</v>
      </c>
      <c r="K59" s="91">
        <v>0</v>
      </c>
    </row>
    <row r="60" spans="1:11" ht="12.75">
      <c r="A60" s="91" t="s">
        <v>366</v>
      </c>
      <c r="B60" s="92">
        <f t="shared" si="0"/>
        <v>76.33333333333306</v>
      </c>
      <c r="C60" s="96">
        <f t="shared" si="1"/>
        <v>14.694000807754449</v>
      </c>
      <c r="D60" s="91">
        <v>106.9</v>
      </c>
      <c r="E60" s="91">
        <v>107.135</v>
      </c>
      <c r="F60" s="91">
        <v>107.1211</v>
      </c>
      <c r="G60" s="91">
        <v>107.135</v>
      </c>
      <c r="H60" s="91">
        <v>0</v>
      </c>
      <c r="I60" s="91">
        <v>0</v>
      </c>
      <c r="J60" s="91">
        <v>0</v>
      </c>
      <c r="K60" s="91">
        <v>0</v>
      </c>
    </row>
    <row r="61" spans="1:11" ht="12.75">
      <c r="A61" s="91" t="s">
        <v>367</v>
      </c>
      <c r="B61" s="92">
        <f t="shared" si="0"/>
        <v>76.41666666666639</v>
      </c>
      <c r="C61" s="96">
        <f t="shared" si="1"/>
        <v>14.694000807754449</v>
      </c>
      <c r="D61" s="91">
        <v>106.9</v>
      </c>
      <c r="E61" s="91">
        <v>107.3251</v>
      </c>
      <c r="F61" s="91">
        <v>108.1529</v>
      </c>
      <c r="G61" s="91">
        <v>107.325</v>
      </c>
      <c r="H61" s="91">
        <v>0</v>
      </c>
      <c r="I61" s="91">
        <v>0</v>
      </c>
      <c r="J61" s="91">
        <v>0</v>
      </c>
      <c r="K61" s="91">
        <v>0</v>
      </c>
    </row>
    <row r="62" spans="1:11" ht="12.75">
      <c r="A62" s="91" t="s">
        <v>368</v>
      </c>
      <c r="B62" s="92">
        <f t="shared" si="0"/>
        <v>76.49999999999972</v>
      </c>
      <c r="C62" s="96">
        <f t="shared" si="1"/>
        <v>14.707746365105013</v>
      </c>
      <c r="D62" s="91">
        <v>107</v>
      </c>
      <c r="E62" s="91">
        <v>106.5176</v>
      </c>
      <c r="F62" s="91">
        <v>109.7435</v>
      </c>
      <c r="G62" s="91">
        <v>109.744</v>
      </c>
      <c r="H62" s="91">
        <v>0</v>
      </c>
      <c r="I62" s="91">
        <v>0</v>
      </c>
      <c r="J62" s="91">
        <v>0</v>
      </c>
      <c r="K62" s="91">
        <v>0</v>
      </c>
    </row>
    <row r="63" spans="1:11" ht="12.75">
      <c r="A63" s="91" t="s">
        <v>369</v>
      </c>
      <c r="B63" s="92">
        <f t="shared" si="0"/>
        <v>76.58333333333304</v>
      </c>
      <c r="C63" s="96">
        <f t="shared" si="1"/>
        <v>15.642444264943462</v>
      </c>
      <c r="D63" s="91">
        <v>113.8</v>
      </c>
      <c r="E63" s="91">
        <v>112.3674</v>
      </c>
      <c r="F63" s="91">
        <v>111.5088</v>
      </c>
      <c r="G63" s="91">
        <v>112.367</v>
      </c>
      <c r="H63" s="91">
        <v>0</v>
      </c>
      <c r="I63" s="91">
        <v>0</v>
      </c>
      <c r="J63" s="91">
        <v>0</v>
      </c>
      <c r="K63" s="91">
        <v>0</v>
      </c>
    </row>
    <row r="64" spans="1:11" ht="12.75">
      <c r="A64" s="91" t="s">
        <v>370</v>
      </c>
      <c r="B64" s="92">
        <f t="shared" si="0"/>
        <v>76.66666666666637</v>
      </c>
      <c r="C64" s="96">
        <f t="shared" si="1"/>
        <v>15.642444264943462</v>
      </c>
      <c r="D64" s="91">
        <v>113.8</v>
      </c>
      <c r="E64" s="91">
        <v>113.0956</v>
      </c>
      <c r="F64" s="91">
        <v>112.9076</v>
      </c>
      <c r="G64" s="91">
        <v>113.096</v>
      </c>
      <c r="H64" s="91">
        <v>0</v>
      </c>
      <c r="I64" s="91">
        <v>0</v>
      </c>
      <c r="J64" s="91">
        <v>0</v>
      </c>
      <c r="K64" s="91">
        <v>0</v>
      </c>
    </row>
    <row r="65" spans="1:11" ht="12.75">
      <c r="A65" s="91" t="s">
        <v>371</v>
      </c>
      <c r="B65" s="92">
        <f t="shared" si="0"/>
        <v>76.7499999999997</v>
      </c>
      <c r="C65" s="96">
        <f aca="true" t="shared" si="2" ref="C65:C86">D65/D66*C66</f>
        <v>15.642444264943462</v>
      </c>
      <c r="D65" s="91">
        <v>113.8</v>
      </c>
      <c r="E65" s="91">
        <v>113.4622</v>
      </c>
      <c r="F65" s="91">
        <v>113.5644</v>
      </c>
      <c r="G65" s="91">
        <v>113.462</v>
      </c>
      <c r="H65" s="91">
        <v>0</v>
      </c>
      <c r="I65" s="91">
        <v>0</v>
      </c>
      <c r="J65" s="91">
        <v>0</v>
      </c>
      <c r="K65" s="91">
        <v>0</v>
      </c>
    </row>
    <row r="66" spans="1:11" ht="12.75">
      <c r="A66" s="91" t="s">
        <v>372</v>
      </c>
      <c r="B66" s="92">
        <f t="shared" si="0"/>
        <v>76.83333333333303</v>
      </c>
      <c r="C66" s="96">
        <f t="shared" si="2"/>
        <v>15.656189822294028</v>
      </c>
      <c r="D66" s="91">
        <v>113.9</v>
      </c>
      <c r="E66" s="91">
        <v>113.9805</v>
      </c>
      <c r="F66" s="91">
        <v>113.835</v>
      </c>
      <c r="G66" s="91">
        <v>113.981</v>
      </c>
      <c r="H66" s="91">
        <v>0</v>
      </c>
      <c r="I66" s="91">
        <v>0</v>
      </c>
      <c r="J66" s="91">
        <v>0</v>
      </c>
      <c r="K66" s="91">
        <v>0</v>
      </c>
    </row>
    <row r="67" spans="1:11" ht="12.75">
      <c r="A67" s="91" t="s">
        <v>373</v>
      </c>
      <c r="B67" s="92">
        <f t="shared" si="0"/>
        <v>76.91666666666636</v>
      </c>
      <c r="C67" s="96">
        <f t="shared" si="2"/>
        <v>15.656189822294028</v>
      </c>
      <c r="D67" s="91">
        <v>113.9</v>
      </c>
      <c r="E67" s="91">
        <v>114.0306</v>
      </c>
      <c r="F67" s="91">
        <v>114.3445</v>
      </c>
      <c r="G67" s="91">
        <v>114.031</v>
      </c>
      <c r="H67" s="91">
        <v>0</v>
      </c>
      <c r="I67" s="91">
        <v>0</v>
      </c>
      <c r="J67" s="91">
        <v>0</v>
      </c>
      <c r="K67" s="91">
        <v>0</v>
      </c>
    </row>
    <row r="68" spans="1:11" ht="12.75">
      <c r="A68" s="91" t="s">
        <v>374</v>
      </c>
      <c r="B68" s="92">
        <f aca="true" t="shared" si="3" ref="B68:B131">B67+1/12</f>
        <v>76.99999999999969</v>
      </c>
      <c r="C68" s="96">
        <f t="shared" si="2"/>
        <v>15.656189822294028</v>
      </c>
      <c r="D68" s="91">
        <v>113.9</v>
      </c>
      <c r="E68" s="91">
        <v>114.5031</v>
      </c>
      <c r="F68" s="91">
        <v>115.3189</v>
      </c>
      <c r="G68" s="91">
        <v>114.503</v>
      </c>
      <c r="H68" s="91">
        <v>0</v>
      </c>
      <c r="I68" s="91">
        <v>0</v>
      </c>
      <c r="J68" s="91">
        <v>0</v>
      </c>
      <c r="K68" s="91">
        <v>0</v>
      </c>
    </row>
    <row r="69" spans="1:11" ht="12.75">
      <c r="A69" s="91" t="s">
        <v>375</v>
      </c>
      <c r="B69" s="92">
        <f t="shared" si="3"/>
        <v>77.08333333333302</v>
      </c>
      <c r="C69" s="96">
        <f t="shared" si="2"/>
        <v>16.109793214862687</v>
      </c>
      <c r="D69" s="91">
        <v>117.2</v>
      </c>
      <c r="E69" s="91">
        <v>117.2661</v>
      </c>
      <c r="F69" s="91">
        <v>116.4399</v>
      </c>
      <c r="G69" s="91">
        <v>117.266</v>
      </c>
      <c r="H69" s="91">
        <v>0</v>
      </c>
      <c r="I69" s="91">
        <v>0</v>
      </c>
      <c r="J69" s="91">
        <v>0</v>
      </c>
      <c r="K69" s="91">
        <v>0</v>
      </c>
    </row>
    <row r="70" spans="1:11" ht="12.75">
      <c r="A70" s="91" t="s">
        <v>376</v>
      </c>
      <c r="B70" s="92">
        <f t="shared" si="3"/>
        <v>77.16666666666634</v>
      </c>
      <c r="C70" s="96">
        <f t="shared" si="2"/>
        <v>16.09604765751212</v>
      </c>
      <c r="D70" s="91">
        <v>117.1</v>
      </c>
      <c r="E70" s="91">
        <v>117.5336</v>
      </c>
      <c r="F70" s="91">
        <v>117.3801</v>
      </c>
      <c r="G70" s="91">
        <v>117.534</v>
      </c>
      <c r="H70" s="91">
        <v>0</v>
      </c>
      <c r="I70" s="91">
        <v>0</v>
      </c>
      <c r="J70" s="91">
        <v>0</v>
      </c>
      <c r="K70" s="91">
        <v>0</v>
      </c>
    </row>
    <row r="71" spans="1:11" ht="12.75">
      <c r="A71" s="91" t="s">
        <v>377</v>
      </c>
      <c r="B71" s="92">
        <f t="shared" si="3"/>
        <v>77.24999999999967</v>
      </c>
      <c r="C71" s="96">
        <f t="shared" si="2"/>
        <v>16.082302100161556</v>
      </c>
      <c r="D71" s="91">
        <v>117</v>
      </c>
      <c r="E71" s="91">
        <v>117.9043</v>
      </c>
      <c r="F71" s="91">
        <v>117.957</v>
      </c>
      <c r="G71" s="91">
        <v>117.904</v>
      </c>
      <c r="H71" s="91">
        <v>0</v>
      </c>
      <c r="I71" s="91">
        <v>0</v>
      </c>
      <c r="J71" s="91">
        <v>0</v>
      </c>
      <c r="K71" s="91">
        <v>0</v>
      </c>
    </row>
    <row r="72" spans="1:11" ht="12.75">
      <c r="A72" s="91" t="s">
        <v>378</v>
      </c>
      <c r="B72" s="92">
        <f t="shared" si="3"/>
        <v>77.333333333333</v>
      </c>
      <c r="C72" s="96">
        <f t="shared" si="2"/>
        <v>16.12353877221325</v>
      </c>
      <c r="D72" s="91">
        <v>117.3</v>
      </c>
      <c r="E72" s="91">
        <v>117.6337</v>
      </c>
      <c r="F72" s="91">
        <v>118.0145</v>
      </c>
      <c r="G72" s="91">
        <v>117.634</v>
      </c>
      <c r="H72" s="91">
        <v>0</v>
      </c>
      <c r="I72" s="91">
        <v>0</v>
      </c>
      <c r="J72" s="91">
        <v>0</v>
      </c>
      <c r="K72" s="91">
        <v>0</v>
      </c>
    </row>
    <row r="73" spans="1:11" ht="12.75">
      <c r="A73" s="91" t="s">
        <v>379</v>
      </c>
      <c r="B73" s="92">
        <f t="shared" si="3"/>
        <v>77.41666666666633</v>
      </c>
      <c r="C73" s="96">
        <f t="shared" si="2"/>
        <v>16.13728432956382</v>
      </c>
      <c r="D73" s="91">
        <v>117.4</v>
      </c>
      <c r="E73" s="91">
        <v>118.1439</v>
      </c>
      <c r="F73" s="91">
        <v>117.6952</v>
      </c>
      <c r="G73" s="91">
        <v>118.144</v>
      </c>
      <c r="H73" s="91">
        <v>0</v>
      </c>
      <c r="I73" s="91">
        <v>0</v>
      </c>
      <c r="J73" s="91">
        <v>0</v>
      </c>
      <c r="K73" s="91">
        <v>0</v>
      </c>
    </row>
    <row r="74" spans="1:12" ht="12.75">
      <c r="A74" s="91" t="s">
        <v>380</v>
      </c>
      <c r="B74" s="92">
        <f t="shared" si="3"/>
        <v>77.49999999999966</v>
      </c>
      <c r="C74" s="96">
        <f t="shared" si="2"/>
        <v>16.206012116316646</v>
      </c>
      <c r="D74" s="91">
        <v>117.9</v>
      </c>
      <c r="E74" s="91">
        <v>117.7026</v>
      </c>
      <c r="F74" s="91">
        <v>117.2937</v>
      </c>
      <c r="G74" s="91">
        <v>117.703</v>
      </c>
      <c r="H74" s="91">
        <v>0</v>
      </c>
      <c r="I74" s="91">
        <v>0</v>
      </c>
      <c r="J74" s="91">
        <v>0</v>
      </c>
      <c r="K74" s="91">
        <v>0</v>
      </c>
      <c r="L74" s="91"/>
    </row>
    <row r="75" spans="1:12" ht="12.75">
      <c r="A75" s="91" t="s">
        <v>381</v>
      </c>
      <c r="B75" s="92">
        <f t="shared" si="3"/>
        <v>77.58333333333299</v>
      </c>
      <c r="C75" s="96">
        <f t="shared" si="2"/>
        <v>16.178521001615515</v>
      </c>
      <c r="D75" s="91">
        <v>117.7</v>
      </c>
      <c r="E75" s="91">
        <v>116.0383</v>
      </c>
      <c r="F75" s="91">
        <v>116.9825</v>
      </c>
      <c r="G75" s="91">
        <v>116.038</v>
      </c>
      <c r="H75" s="91">
        <v>0</v>
      </c>
      <c r="I75" s="91">
        <v>0</v>
      </c>
      <c r="J75" s="91">
        <v>0</v>
      </c>
      <c r="K75" s="91">
        <v>0</v>
      </c>
      <c r="L75" s="91"/>
    </row>
    <row r="76" spans="1:12" ht="12.75">
      <c r="A76" s="91" t="s">
        <v>382</v>
      </c>
      <c r="B76" s="92">
        <f t="shared" si="3"/>
        <v>77.66666666666632</v>
      </c>
      <c r="C76" s="96">
        <f t="shared" si="2"/>
        <v>16.19226655896608</v>
      </c>
      <c r="D76" s="91">
        <v>117.8</v>
      </c>
      <c r="E76" s="91">
        <v>116.9508</v>
      </c>
      <c r="F76" s="91">
        <v>116.9079</v>
      </c>
      <c r="G76" s="91">
        <v>116.951</v>
      </c>
      <c r="H76" s="91">
        <v>0</v>
      </c>
      <c r="I76" s="91">
        <v>0</v>
      </c>
      <c r="J76" s="91">
        <v>0</v>
      </c>
      <c r="K76" s="91">
        <v>0</v>
      </c>
      <c r="L76" s="91"/>
    </row>
    <row r="77" spans="1:12" ht="12.75">
      <c r="A77" s="91" t="s">
        <v>383</v>
      </c>
      <c r="B77" s="92">
        <f t="shared" si="3"/>
        <v>77.74999999999964</v>
      </c>
      <c r="C77" s="96">
        <f t="shared" si="2"/>
        <v>16.19226655896608</v>
      </c>
      <c r="D77" s="91">
        <v>117.8</v>
      </c>
      <c r="E77" s="91">
        <v>117.4039</v>
      </c>
      <c r="F77" s="91">
        <v>117.1026</v>
      </c>
      <c r="G77" s="91">
        <v>117.404</v>
      </c>
      <c r="H77" s="91">
        <v>0</v>
      </c>
      <c r="I77" s="91">
        <v>0</v>
      </c>
      <c r="J77" s="91">
        <v>0</v>
      </c>
      <c r="K77" s="91">
        <v>0</v>
      </c>
      <c r="L77" s="91"/>
    </row>
    <row r="78" spans="1:12" ht="12.75">
      <c r="A78" s="91" t="s">
        <v>384</v>
      </c>
      <c r="B78" s="92">
        <f t="shared" si="3"/>
        <v>77.83333333333297</v>
      </c>
      <c r="C78" s="96">
        <f t="shared" si="2"/>
        <v>16.151029886914383</v>
      </c>
      <c r="D78" s="91">
        <v>117.5</v>
      </c>
      <c r="E78" s="91">
        <v>117.5217</v>
      </c>
      <c r="F78" s="91">
        <v>117.3681</v>
      </c>
      <c r="G78" s="91">
        <v>117.522</v>
      </c>
      <c r="H78" s="91">
        <v>0</v>
      </c>
      <c r="I78" s="91">
        <v>0</v>
      </c>
      <c r="J78" s="91">
        <v>0</v>
      </c>
      <c r="K78" s="91">
        <v>0</v>
      </c>
      <c r="L78" s="91"/>
    </row>
    <row r="79" spans="1:12" ht="12.75">
      <c r="A79" s="91" t="s">
        <v>385</v>
      </c>
      <c r="B79" s="92">
        <f t="shared" si="3"/>
        <v>77.9166666666663</v>
      </c>
      <c r="C79" s="96">
        <f t="shared" si="2"/>
        <v>16.12353877221325</v>
      </c>
      <c r="D79" s="91">
        <v>117.3</v>
      </c>
      <c r="E79" s="91">
        <v>117.2485</v>
      </c>
      <c r="F79" s="91">
        <v>117.4617</v>
      </c>
      <c r="G79" s="91">
        <v>117.249</v>
      </c>
      <c r="H79" s="91">
        <v>0</v>
      </c>
      <c r="I79" s="91">
        <v>0</v>
      </c>
      <c r="J79" s="91">
        <v>0</v>
      </c>
      <c r="K79" s="91">
        <v>0</v>
      </c>
      <c r="L79" s="91"/>
    </row>
    <row r="80" spans="1:12" ht="12.75">
      <c r="A80" s="91" t="s">
        <v>386</v>
      </c>
      <c r="B80" s="92">
        <f t="shared" si="3"/>
        <v>77.99999999999963</v>
      </c>
      <c r="C80" s="96">
        <f t="shared" si="2"/>
        <v>16.12353877221325</v>
      </c>
      <c r="D80" s="91">
        <v>117.3</v>
      </c>
      <c r="E80" s="91">
        <v>117.7976</v>
      </c>
      <c r="F80" s="91">
        <v>117.4962</v>
      </c>
      <c r="G80" s="91">
        <v>117.798</v>
      </c>
      <c r="H80" s="91">
        <v>0</v>
      </c>
      <c r="I80" s="91">
        <v>0</v>
      </c>
      <c r="J80" s="91">
        <v>0</v>
      </c>
      <c r="K80" s="91">
        <v>0</v>
      </c>
      <c r="L80" s="91"/>
    </row>
    <row r="81" spans="1:12" ht="12.75">
      <c r="A81" s="91" t="s">
        <v>387</v>
      </c>
      <c r="B81" s="92">
        <f t="shared" si="3"/>
        <v>78.08333333333296</v>
      </c>
      <c r="C81" s="96">
        <f t="shared" si="2"/>
        <v>16.12353877221325</v>
      </c>
      <c r="D81" s="91">
        <v>117.3</v>
      </c>
      <c r="E81" s="91">
        <v>117.2469</v>
      </c>
      <c r="F81" s="91">
        <v>117.7433</v>
      </c>
      <c r="G81" s="91">
        <v>117.247</v>
      </c>
      <c r="H81" s="91">
        <v>0</v>
      </c>
      <c r="I81" s="91">
        <v>0</v>
      </c>
      <c r="J81" s="91">
        <v>0</v>
      </c>
      <c r="K81" s="91">
        <v>0</v>
      </c>
      <c r="L81" s="91"/>
    </row>
    <row r="82" spans="1:12" ht="12.75">
      <c r="A82" s="91" t="s">
        <v>388</v>
      </c>
      <c r="B82" s="92">
        <f t="shared" si="3"/>
        <v>78.16666666666629</v>
      </c>
      <c r="C82" s="96">
        <f t="shared" si="2"/>
        <v>16.164775444264947</v>
      </c>
      <c r="D82" s="91">
        <v>117.6</v>
      </c>
      <c r="E82" s="91">
        <v>118.1128</v>
      </c>
      <c r="F82" s="91">
        <v>118.1793</v>
      </c>
      <c r="G82" s="91">
        <v>118.113</v>
      </c>
      <c r="H82" s="91">
        <v>0</v>
      </c>
      <c r="I82" s="91">
        <v>0</v>
      </c>
      <c r="J82" s="91">
        <v>0</v>
      </c>
      <c r="K82" s="91">
        <v>0</v>
      </c>
      <c r="L82" s="91"/>
    </row>
    <row r="83" spans="1:12" ht="12.75">
      <c r="A83" s="91" t="s">
        <v>389</v>
      </c>
      <c r="B83" s="92">
        <f t="shared" si="3"/>
        <v>78.24999999999962</v>
      </c>
      <c r="C83" s="96">
        <f t="shared" si="2"/>
        <v>16.178521001615515</v>
      </c>
      <c r="D83" s="91">
        <v>117.7</v>
      </c>
      <c r="E83" s="91">
        <v>118.9207</v>
      </c>
      <c r="F83" s="91">
        <v>118.3982</v>
      </c>
      <c r="G83" s="91">
        <v>118.921</v>
      </c>
      <c r="H83" s="91">
        <v>0</v>
      </c>
      <c r="I83" s="91">
        <v>0</v>
      </c>
      <c r="J83" s="91">
        <v>0</v>
      </c>
      <c r="K83" s="91">
        <v>0</v>
      </c>
      <c r="L83" s="91"/>
    </row>
    <row r="84" spans="1:12" ht="12.75">
      <c r="A84" s="91" t="s">
        <v>390</v>
      </c>
      <c r="B84" s="92">
        <f t="shared" si="3"/>
        <v>78.33333333333294</v>
      </c>
      <c r="C84" s="96">
        <f t="shared" si="2"/>
        <v>16.260994345718906</v>
      </c>
      <c r="D84" s="91">
        <v>118.3</v>
      </c>
      <c r="E84" s="91">
        <v>118.7689</v>
      </c>
      <c r="F84" s="91">
        <v>118.4132</v>
      </c>
      <c r="G84" s="91">
        <v>118.769</v>
      </c>
      <c r="H84" s="91">
        <v>0</v>
      </c>
      <c r="I84" s="91">
        <v>0</v>
      </c>
      <c r="J84" s="91">
        <v>0</v>
      </c>
      <c r="K84" s="91">
        <v>0</v>
      </c>
      <c r="L84" s="91"/>
    </row>
    <row r="85" spans="1:12" ht="12.75">
      <c r="A85" s="91" t="s">
        <v>391</v>
      </c>
      <c r="B85" s="92">
        <f t="shared" si="3"/>
        <v>78.41666666666627</v>
      </c>
      <c r="C85" s="96">
        <f t="shared" si="2"/>
        <v>16.206012116316643</v>
      </c>
      <c r="D85" s="91">
        <v>117.9</v>
      </c>
      <c r="E85" s="91">
        <v>118.6326</v>
      </c>
      <c r="F85" s="91">
        <v>118.4338</v>
      </c>
      <c r="G85" s="91">
        <v>118.633</v>
      </c>
      <c r="H85" s="91">
        <v>0</v>
      </c>
      <c r="I85" s="91">
        <v>0</v>
      </c>
      <c r="J85" s="91">
        <v>0</v>
      </c>
      <c r="K85" s="91">
        <v>0</v>
      </c>
      <c r="L85" s="91"/>
    </row>
    <row r="86" spans="1:12" ht="12.75">
      <c r="A86" s="91" t="s">
        <v>392</v>
      </c>
      <c r="B86" s="92">
        <f t="shared" si="3"/>
        <v>78.4999999999996</v>
      </c>
      <c r="C86" s="96">
        <f t="shared" si="2"/>
        <v>16.219757673667207</v>
      </c>
      <c r="D86" s="91">
        <v>118</v>
      </c>
      <c r="E86" s="91">
        <v>117.7777</v>
      </c>
      <c r="F86" s="91">
        <v>118.9884</v>
      </c>
      <c r="G86" s="91">
        <v>117.778</v>
      </c>
      <c r="H86" s="91">
        <v>0</v>
      </c>
      <c r="I86" s="91">
        <v>0</v>
      </c>
      <c r="J86" s="91">
        <v>0</v>
      </c>
      <c r="K86" s="91">
        <v>0</v>
      </c>
      <c r="L86" s="91"/>
    </row>
    <row r="87" spans="1:12" ht="12.75">
      <c r="A87" s="91" t="s">
        <v>393</v>
      </c>
      <c r="B87" s="92">
        <f t="shared" si="3"/>
        <v>78.58333333333293</v>
      </c>
      <c r="C87" s="96">
        <v>17.017</v>
      </c>
      <c r="D87" s="91">
        <v>123.8</v>
      </c>
      <c r="E87" s="91">
        <v>121.9455</v>
      </c>
      <c r="F87" s="91">
        <v>120.7787</v>
      </c>
      <c r="G87" s="91">
        <v>121.946</v>
      </c>
      <c r="H87" s="91">
        <v>101.6793</v>
      </c>
      <c r="I87" s="91">
        <v>102.4034</v>
      </c>
      <c r="J87" s="91">
        <v>101.5095</v>
      </c>
      <c r="K87" s="91">
        <v>102.402</v>
      </c>
      <c r="L87" s="91">
        <v>17.017</v>
      </c>
    </row>
    <row r="88" spans="1:12" ht="12.75">
      <c r="A88" s="91" t="s">
        <v>394</v>
      </c>
      <c r="B88" s="92">
        <f t="shared" si="3"/>
        <v>78.66666666666626</v>
      </c>
      <c r="C88" s="96">
        <v>18.664</v>
      </c>
      <c r="D88" s="91">
        <v>124.4</v>
      </c>
      <c r="E88" s="91">
        <v>123.3321</v>
      </c>
      <c r="F88" s="91">
        <v>124.3424</v>
      </c>
      <c r="G88" s="91">
        <v>123.332</v>
      </c>
      <c r="H88" s="91">
        <v>111.4321</v>
      </c>
      <c r="I88" s="91">
        <v>113.7478</v>
      </c>
      <c r="J88" s="91">
        <v>118.9228</v>
      </c>
      <c r="K88" s="91">
        <v>113.748</v>
      </c>
      <c r="L88" s="91">
        <v>18.664</v>
      </c>
    </row>
    <row r="89" spans="1:12" ht="12.75">
      <c r="A89" s="91" t="s">
        <v>395</v>
      </c>
      <c r="B89" s="92">
        <f t="shared" si="3"/>
        <v>78.74999999999959</v>
      </c>
      <c r="C89" s="96">
        <v>23.394</v>
      </c>
      <c r="D89" s="91">
        <v>125</v>
      </c>
      <c r="E89" s="91">
        <v>124.5343</v>
      </c>
      <c r="F89" s="91">
        <v>129.7322</v>
      </c>
      <c r="G89" s="91">
        <v>129.732</v>
      </c>
      <c r="H89" s="91">
        <v>139.6301</v>
      </c>
      <c r="I89" s="91">
        <v>138.3732</v>
      </c>
      <c r="J89" s="91">
        <v>138.192</v>
      </c>
      <c r="K89" s="91">
        <v>138.369</v>
      </c>
      <c r="L89" s="91">
        <v>23.394</v>
      </c>
    </row>
    <row r="90" spans="1:12" ht="12.75">
      <c r="A90" s="91" t="s">
        <v>396</v>
      </c>
      <c r="B90" s="92">
        <f t="shared" si="3"/>
        <v>78.83333333333292</v>
      </c>
      <c r="C90" s="96">
        <v>25.937</v>
      </c>
      <c r="D90" s="91">
        <v>141</v>
      </c>
      <c r="E90" s="91">
        <v>141.0382</v>
      </c>
      <c r="F90" s="91">
        <v>136.6251</v>
      </c>
      <c r="G90" s="91">
        <v>136.625</v>
      </c>
      <c r="H90" s="91">
        <v>157.6791</v>
      </c>
      <c r="I90" s="91">
        <v>159.0741</v>
      </c>
      <c r="J90" s="91">
        <v>158.4811</v>
      </c>
      <c r="K90" s="91">
        <v>159.073</v>
      </c>
      <c r="L90" s="91">
        <v>25.937</v>
      </c>
    </row>
    <row r="91" spans="1:12" ht="12.75">
      <c r="A91" s="91" t="s">
        <v>397</v>
      </c>
      <c r="B91" s="92">
        <f t="shared" si="3"/>
        <v>78.91666666666625</v>
      </c>
      <c r="C91" s="96">
        <v>28.48</v>
      </c>
      <c r="D91" s="91">
        <v>145.3</v>
      </c>
      <c r="E91" s="91">
        <v>145.2169</v>
      </c>
      <c r="F91" s="91">
        <v>144.5967</v>
      </c>
      <c r="G91" s="91">
        <v>145.217</v>
      </c>
      <c r="H91" s="91">
        <v>174.0715</v>
      </c>
      <c r="I91" s="91">
        <v>175.5561</v>
      </c>
      <c r="J91" s="91">
        <v>178.9884</v>
      </c>
      <c r="K91" s="91">
        <v>175.555</v>
      </c>
      <c r="L91" s="91">
        <v>28.48</v>
      </c>
    </row>
    <row r="92" spans="1:12" ht="12.75">
      <c r="A92" s="91" t="s">
        <v>398</v>
      </c>
      <c r="B92" s="92">
        <f t="shared" si="3"/>
        <v>78.99999999999957</v>
      </c>
      <c r="C92" s="96">
        <v>33.565</v>
      </c>
      <c r="D92" s="91">
        <v>145.6</v>
      </c>
      <c r="E92" s="91">
        <v>146.248</v>
      </c>
      <c r="F92" s="91">
        <v>152.9465</v>
      </c>
      <c r="G92" s="91">
        <v>152.947</v>
      </c>
      <c r="H92" s="91">
        <v>201.6484</v>
      </c>
      <c r="I92" s="91">
        <v>200.2468</v>
      </c>
      <c r="J92" s="91">
        <v>195.3272</v>
      </c>
      <c r="K92" s="91">
        <v>200.252</v>
      </c>
      <c r="L92" s="91">
        <v>33.565</v>
      </c>
    </row>
    <row r="93" spans="1:12" ht="12.75">
      <c r="A93" s="91" t="s">
        <v>399</v>
      </c>
      <c r="B93" s="92">
        <f t="shared" si="3"/>
        <v>79.0833333333329</v>
      </c>
      <c r="C93" s="96">
        <v>35.091</v>
      </c>
      <c r="D93" s="91">
        <v>175.9</v>
      </c>
      <c r="E93" s="91">
        <v>175.9771</v>
      </c>
      <c r="F93" s="91">
        <v>161.2982</v>
      </c>
      <c r="G93" s="91">
        <v>161.298</v>
      </c>
      <c r="H93" s="91">
        <v>204.2101</v>
      </c>
      <c r="I93" s="91">
        <v>207.0783</v>
      </c>
      <c r="J93" s="91">
        <v>205.5756</v>
      </c>
      <c r="K93" s="91">
        <v>207.079</v>
      </c>
      <c r="L93" s="91">
        <v>35.091</v>
      </c>
    </row>
    <row r="94" spans="1:12" ht="12.75">
      <c r="A94" s="91" t="s">
        <v>400</v>
      </c>
      <c r="B94" s="92">
        <f t="shared" si="3"/>
        <v>79.16666666666623</v>
      </c>
      <c r="C94" s="96">
        <v>31.531</v>
      </c>
      <c r="D94" s="91">
        <v>175.7</v>
      </c>
      <c r="E94" s="91">
        <v>176.7766</v>
      </c>
      <c r="F94" s="91">
        <v>170.0469</v>
      </c>
      <c r="G94" s="91">
        <v>170.047</v>
      </c>
      <c r="H94" s="91">
        <v>184.7918</v>
      </c>
      <c r="I94" s="91">
        <v>196.595</v>
      </c>
      <c r="J94" s="91">
        <v>211.1024</v>
      </c>
      <c r="K94" s="91">
        <v>211.103</v>
      </c>
      <c r="L94" s="91">
        <v>31.531</v>
      </c>
    </row>
    <row r="95" spans="1:12" ht="12.75">
      <c r="A95" s="91" t="s">
        <v>401</v>
      </c>
      <c r="B95" s="92">
        <f t="shared" si="3"/>
        <v>79.24999999999956</v>
      </c>
      <c r="C95" s="96">
        <v>36.108</v>
      </c>
      <c r="D95" s="91">
        <v>176.3</v>
      </c>
      <c r="E95" s="91">
        <v>178.3701</v>
      </c>
      <c r="F95" s="91">
        <v>180.1826</v>
      </c>
      <c r="G95" s="91">
        <v>178.37</v>
      </c>
      <c r="H95" s="91">
        <v>205.9342</v>
      </c>
      <c r="I95" s="91">
        <v>206.756</v>
      </c>
      <c r="J95" s="91">
        <v>214.2431</v>
      </c>
      <c r="K95" s="91">
        <v>206.76</v>
      </c>
      <c r="L95" s="91">
        <v>36.108</v>
      </c>
    </row>
    <row r="96" spans="1:12" ht="12.75">
      <c r="A96" s="91" t="s">
        <v>402</v>
      </c>
      <c r="B96" s="92">
        <f t="shared" si="3"/>
        <v>79.33333333333289</v>
      </c>
      <c r="C96" s="96">
        <v>38.651</v>
      </c>
      <c r="D96" s="91">
        <v>176.3</v>
      </c>
      <c r="E96" s="91">
        <v>177.0595</v>
      </c>
      <c r="F96" s="91">
        <v>191.8003</v>
      </c>
      <c r="G96" s="91">
        <v>191.8</v>
      </c>
      <c r="H96" s="91">
        <v>221.9346</v>
      </c>
      <c r="I96" s="91">
        <v>217.2735</v>
      </c>
      <c r="J96" s="91">
        <v>216.2759</v>
      </c>
      <c r="K96" s="91">
        <v>217.275</v>
      </c>
      <c r="L96" s="91">
        <v>38.651</v>
      </c>
    </row>
    <row r="97" spans="1:12" ht="12.75">
      <c r="A97" s="91" t="s">
        <v>403</v>
      </c>
      <c r="B97" s="92">
        <f t="shared" si="3"/>
        <v>79.41666666666622</v>
      </c>
      <c r="C97" s="96">
        <v>40.177</v>
      </c>
      <c r="D97" s="91">
        <v>203.1</v>
      </c>
      <c r="E97" s="91">
        <v>203.9738</v>
      </c>
      <c r="F97" s="91">
        <v>204.6377</v>
      </c>
      <c r="G97" s="91">
        <v>203.974</v>
      </c>
      <c r="H97" s="91">
        <v>233.7537</v>
      </c>
      <c r="I97" s="91">
        <v>221.8283</v>
      </c>
      <c r="J97" s="91">
        <v>216.9821</v>
      </c>
      <c r="K97" s="91">
        <v>221.829</v>
      </c>
      <c r="L97" s="91">
        <v>40.177</v>
      </c>
    </row>
    <row r="98" spans="1:12" ht="12.75">
      <c r="A98" s="91" t="s">
        <v>404</v>
      </c>
      <c r="B98" s="92">
        <f t="shared" si="3"/>
        <v>79.49999999999955</v>
      </c>
      <c r="C98" s="96">
        <v>39.668</v>
      </c>
      <c r="D98" s="91">
        <v>220.6</v>
      </c>
      <c r="E98" s="91">
        <v>219.9651</v>
      </c>
      <c r="F98" s="91">
        <v>217.7626</v>
      </c>
      <c r="G98" s="91">
        <v>219.965</v>
      </c>
      <c r="H98" s="91">
        <v>224.1363</v>
      </c>
      <c r="I98" s="91">
        <v>216.8238</v>
      </c>
      <c r="J98" s="91">
        <v>216.1802</v>
      </c>
      <c r="K98" s="91">
        <v>216.821</v>
      </c>
      <c r="L98" s="91">
        <v>39.668</v>
      </c>
    </row>
    <row r="99" spans="1:12" ht="12.75">
      <c r="A99" s="91" t="s">
        <v>405</v>
      </c>
      <c r="B99" s="92">
        <f t="shared" si="3"/>
        <v>79.58333333333287</v>
      </c>
      <c r="C99" s="96">
        <v>37.125</v>
      </c>
      <c r="D99" s="91">
        <v>231.6</v>
      </c>
      <c r="E99" s="91">
        <v>227.4448</v>
      </c>
      <c r="F99" s="91">
        <v>229.7965</v>
      </c>
      <c r="G99" s="91">
        <v>227.445</v>
      </c>
      <c r="H99" s="91">
        <v>209.1368</v>
      </c>
      <c r="I99" s="91">
        <v>210.877</v>
      </c>
      <c r="J99" s="91">
        <v>215.8097</v>
      </c>
      <c r="K99" s="91">
        <v>210.874</v>
      </c>
      <c r="L99" s="91">
        <v>37.125</v>
      </c>
    </row>
    <row r="100" spans="1:12" ht="12.75">
      <c r="A100" s="91" t="s">
        <v>406</v>
      </c>
      <c r="B100" s="92">
        <f t="shared" si="3"/>
        <v>79.6666666666662</v>
      </c>
      <c r="C100" s="96">
        <v>36.108</v>
      </c>
      <c r="D100" s="91">
        <v>245</v>
      </c>
      <c r="E100" s="91">
        <v>242.6452</v>
      </c>
      <c r="F100" s="91">
        <v>240.0332</v>
      </c>
      <c r="G100" s="91">
        <v>242.645</v>
      </c>
      <c r="H100" s="91">
        <v>208.9457</v>
      </c>
      <c r="I100" s="91">
        <v>213.5809</v>
      </c>
      <c r="J100" s="91">
        <v>217.2125</v>
      </c>
      <c r="K100" s="91">
        <v>213.581</v>
      </c>
      <c r="L100" s="91">
        <v>36.108</v>
      </c>
    </row>
    <row r="101" spans="1:12" ht="12.75">
      <c r="A101" s="91" t="s">
        <v>407</v>
      </c>
      <c r="B101" s="92">
        <f t="shared" si="3"/>
        <v>79.74999999999953</v>
      </c>
      <c r="C101" s="96">
        <v>36.108</v>
      </c>
      <c r="D101" s="91">
        <v>249.2</v>
      </c>
      <c r="E101" s="91">
        <v>248.2781</v>
      </c>
      <c r="F101" s="91">
        <v>248.8019</v>
      </c>
      <c r="G101" s="91">
        <v>248.278</v>
      </c>
      <c r="H101" s="91">
        <v>224.6208</v>
      </c>
      <c r="I101" s="91">
        <v>223.5801</v>
      </c>
      <c r="J101" s="91">
        <v>219.519</v>
      </c>
      <c r="K101" s="91">
        <v>223.571</v>
      </c>
      <c r="L101" s="91">
        <v>36.108</v>
      </c>
    </row>
    <row r="102" spans="1:12" ht="12.75">
      <c r="A102" s="91" t="s">
        <v>408</v>
      </c>
      <c r="B102" s="92">
        <f t="shared" si="3"/>
        <v>79.83333333333286</v>
      </c>
      <c r="C102" s="96">
        <v>35.6</v>
      </c>
      <c r="D102" s="91">
        <v>252.6</v>
      </c>
      <c r="E102" s="91">
        <v>252.8448</v>
      </c>
      <c r="F102" s="91">
        <v>256.548</v>
      </c>
      <c r="G102" s="91">
        <v>252.845</v>
      </c>
      <c r="H102" s="91">
        <v>220.8582</v>
      </c>
      <c r="I102" s="91">
        <v>223.2955</v>
      </c>
      <c r="J102" s="91">
        <v>219.3392</v>
      </c>
      <c r="K102" s="91">
        <v>223.293</v>
      </c>
      <c r="L102" s="91">
        <v>35.6</v>
      </c>
    </row>
    <row r="103" spans="1:12" ht="12.75">
      <c r="A103" s="91" t="s">
        <v>409</v>
      </c>
      <c r="B103" s="92">
        <f t="shared" si="3"/>
        <v>79.91666666666619</v>
      </c>
      <c r="C103" s="96">
        <v>36.108</v>
      </c>
      <c r="D103" s="91">
        <v>268.7</v>
      </c>
      <c r="E103" s="91">
        <v>268.9629</v>
      </c>
      <c r="F103" s="91">
        <v>263.3496</v>
      </c>
      <c r="G103" s="91">
        <v>263.35</v>
      </c>
      <c r="H103" s="91">
        <v>212.4086</v>
      </c>
      <c r="I103" s="91">
        <v>214.3026</v>
      </c>
      <c r="J103" s="91">
        <v>213.9879</v>
      </c>
      <c r="K103" s="91">
        <v>214.301</v>
      </c>
      <c r="L103" s="91">
        <v>36.108</v>
      </c>
    </row>
    <row r="104" spans="1:12" ht="12.75">
      <c r="A104" s="91" t="s">
        <v>410</v>
      </c>
      <c r="B104" s="92">
        <f t="shared" si="3"/>
        <v>79.99999999999952</v>
      </c>
      <c r="C104" s="96">
        <v>35.6</v>
      </c>
      <c r="D104" s="91">
        <v>272.3</v>
      </c>
      <c r="E104" s="91">
        <v>274.1371</v>
      </c>
      <c r="F104" s="91">
        <v>268.848</v>
      </c>
      <c r="G104" s="91">
        <v>274.137</v>
      </c>
      <c r="H104" s="91">
        <v>205.8639</v>
      </c>
      <c r="I104" s="91">
        <v>204.2403</v>
      </c>
      <c r="J104" s="91">
        <v>205.6348</v>
      </c>
      <c r="K104" s="91">
        <v>204.245</v>
      </c>
      <c r="L104" s="91">
        <v>35.6</v>
      </c>
    </row>
    <row r="105" spans="1:12" ht="12.75">
      <c r="A105" s="91" t="s">
        <v>411</v>
      </c>
      <c r="B105" s="92">
        <f t="shared" si="3"/>
        <v>80.08333333333285</v>
      </c>
      <c r="C105" s="96">
        <v>34.837</v>
      </c>
      <c r="D105" s="91">
        <v>273.2</v>
      </c>
      <c r="E105" s="91">
        <v>274.0313</v>
      </c>
      <c r="F105" s="91">
        <v>273.3953</v>
      </c>
      <c r="G105" s="91">
        <v>274.031</v>
      </c>
      <c r="H105" s="91">
        <v>197.5716</v>
      </c>
      <c r="I105" s="91">
        <v>199.9812</v>
      </c>
      <c r="J105" s="91">
        <v>199.3974</v>
      </c>
      <c r="K105" s="91">
        <v>199.981</v>
      </c>
      <c r="L105" s="91">
        <v>34.837</v>
      </c>
    </row>
    <row r="106" spans="1:12" ht="12.75">
      <c r="A106" s="91" t="s">
        <v>412</v>
      </c>
      <c r="B106" s="92">
        <f t="shared" si="3"/>
        <v>80.16666666666617</v>
      </c>
      <c r="C106" s="96">
        <v>31.531</v>
      </c>
      <c r="D106" s="91">
        <v>273.1</v>
      </c>
      <c r="E106" s="91">
        <v>275.2206</v>
      </c>
      <c r="F106" s="91">
        <v>276.703</v>
      </c>
      <c r="G106" s="91">
        <v>275.221</v>
      </c>
      <c r="H106" s="91">
        <v>184.606</v>
      </c>
      <c r="I106" s="91">
        <v>194.7647</v>
      </c>
      <c r="J106" s="91">
        <v>200.2475</v>
      </c>
      <c r="K106" s="91">
        <v>194.773</v>
      </c>
      <c r="L106" s="91">
        <v>31.531</v>
      </c>
    </row>
    <row r="107" spans="1:12" ht="12.75">
      <c r="A107" s="91" t="s">
        <v>413</v>
      </c>
      <c r="B107" s="92">
        <f t="shared" si="3"/>
        <v>80.2499999999995</v>
      </c>
      <c r="C107" s="96">
        <v>31.938</v>
      </c>
      <c r="D107" s="91">
        <v>275.7</v>
      </c>
      <c r="E107" s="91">
        <v>279.1042</v>
      </c>
      <c r="F107" s="91">
        <v>278.7858</v>
      </c>
      <c r="G107" s="91">
        <v>279.104</v>
      </c>
      <c r="H107" s="91">
        <v>185.5589</v>
      </c>
      <c r="I107" s="91">
        <v>185.4888</v>
      </c>
      <c r="J107" s="91">
        <v>208.5507</v>
      </c>
      <c r="K107" s="91">
        <v>208.556</v>
      </c>
      <c r="L107" s="91">
        <v>31.938</v>
      </c>
    </row>
    <row r="108" spans="1:12" ht="12.75">
      <c r="A108" s="91" t="s">
        <v>414</v>
      </c>
      <c r="B108" s="92">
        <f t="shared" si="3"/>
        <v>80.33333333333283</v>
      </c>
      <c r="C108" s="96">
        <v>38.448</v>
      </c>
      <c r="D108" s="91">
        <v>281.7</v>
      </c>
      <c r="E108" s="91">
        <v>282.8594</v>
      </c>
      <c r="F108" s="91">
        <v>280.6521</v>
      </c>
      <c r="G108" s="91">
        <v>282.86</v>
      </c>
      <c r="H108" s="91">
        <v>225.7527</v>
      </c>
      <c r="I108" s="91">
        <v>220.6698</v>
      </c>
      <c r="J108" s="91">
        <v>221.2428</v>
      </c>
      <c r="K108" s="91">
        <v>220.673</v>
      </c>
      <c r="L108" s="91">
        <v>38.448</v>
      </c>
    </row>
    <row r="109" spans="1:12" ht="12.75">
      <c r="A109" s="91" t="s">
        <v>415</v>
      </c>
      <c r="B109" s="92">
        <f t="shared" si="3"/>
        <v>80.41666666666616</v>
      </c>
      <c r="C109" s="96">
        <v>42.211</v>
      </c>
      <c r="D109" s="91">
        <v>281.5</v>
      </c>
      <c r="E109" s="91">
        <v>281.5518</v>
      </c>
      <c r="F109" s="91">
        <v>283.3</v>
      </c>
      <c r="G109" s="91">
        <v>281.552</v>
      </c>
      <c r="H109" s="91">
        <v>257.4143</v>
      </c>
      <c r="I109" s="91">
        <v>244.8872</v>
      </c>
      <c r="J109" s="91">
        <v>235.4101</v>
      </c>
      <c r="K109" s="91">
        <v>244.891</v>
      </c>
      <c r="L109" s="91">
        <v>42.211</v>
      </c>
    </row>
    <row r="110" spans="1:12" ht="12.75">
      <c r="A110" s="91" t="s">
        <v>416</v>
      </c>
      <c r="B110" s="92">
        <f t="shared" si="3"/>
        <v>80.49999999999949</v>
      </c>
      <c r="C110" s="96">
        <v>39.922</v>
      </c>
      <c r="D110" s="91">
        <v>286</v>
      </c>
      <c r="E110" s="91">
        <v>283.8834</v>
      </c>
      <c r="F110" s="91">
        <v>287.1793</v>
      </c>
      <c r="G110" s="91">
        <v>283.884</v>
      </c>
      <c r="H110" s="91">
        <v>251.9352</v>
      </c>
      <c r="I110" s="91">
        <v>244.2276</v>
      </c>
      <c r="J110" s="91">
        <v>247.6789</v>
      </c>
      <c r="K110" s="91">
        <v>244.226</v>
      </c>
      <c r="L110" s="91">
        <v>39.922</v>
      </c>
    </row>
    <row r="111" spans="1:12" ht="12.75">
      <c r="A111" s="91" t="s">
        <v>417</v>
      </c>
      <c r="B111" s="92">
        <f t="shared" si="3"/>
        <v>80.58333333333282</v>
      </c>
      <c r="C111" s="96">
        <v>39.16</v>
      </c>
      <c r="D111" s="91">
        <v>300.9</v>
      </c>
      <c r="E111" s="91">
        <v>294.9811</v>
      </c>
      <c r="F111" s="91">
        <v>291.9515</v>
      </c>
      <c r="G111" s="91">
        <v>294.981</v>
      </c>
      <c r="H111" s="91">
        <v>251.6665</v>
      </c>
      <c r="I111" s="91">
        <v>254.1057</v>
      </c>
      <c r="J111" s="91">
        <v>255.2631</v>
      </c>
      <c r="K111" s="91">
        <v>254.102</v>
      </c>
      <c r="L111" s="91">
        <v>39.16</v>
      </c>
    </row>
    <row r="112" spans="1:12" ht="12.75">
      <c r="A112" s="91" t="s">
        <v>418</v>
      </c>
      <c r="B112" s="92">
        <f t="shared" si="3"/>
        <v>80.66666666666615</v>
      </c>
      <c r="C112" s="96">
        <v>37.634</v>
      </c>
      <c r="D112" s="91">
        <v>300.3</v>
      </c>
      <c r="E112" s="91">
        <v>296.9479</v>
      </c>
      <c r="F112" s="91">
        <v>296.5952</v>
      </c>
      <c r="G112" s="91">
        <v>296.948</v>
      </c>
      <c r="H112" s="91">
        <v>259.7171</v>
      </c>
      <c r="I112" s="91">
        <v>265.6076</v>
      </c>
      <c r="J112" s="91">
        <v>258.3034</v>
      </c>
      <c r="K112" s="91">
        <v>265.601</v>
      </c>
      <c r="L112" s="91">
        <v>37.634</v>
      </c>
    </row>
    <row r="113" spans="1:12" ht="12.75">
      <c r="A113" s="91" t="s">
        <v>419</v>
      </c>
      <c r="B113" s="92">
        <f t="shared" si="3"/>
        <v>80.74999999999947</v>
      </c>
      <c r="C113" s="96">
        <v>37.125</v>
      </c>
      <c r="D113" s="91">
        <v>300.8</v>
      </c>
      <c r="E113" s="91">
        <v>299.7952</v>
      </c>
      <c r="F113" s="91">
        <v>299.8944</v>
      </c>
      <c r="G113" s="91">
        <v>299.795</v>
      </c>
      <c r="H113" s="91">
        <v>252.6925</v>
      </c>
      <c r="I113" s="91">
        <v>253.8186</v>
      </c>
      <c r="J113" s="91">
        <v>256.9791</v>
      </c>
      <c r="K113" s="91">
        <v>253.802</v>
      </c>
      <c r="L113" s="91">
        <v>37.125</v>
      </c>
    </row>
    <row r="114" spans="1:12" ht="12.75">
      <c r="A114" s="91" t="s">
        <v>420</v>
      </c>
      <c r="B114" s="92">
        <f t="shared" si="3"/>
        <v>80.8333333333328</v>
      </c>
      <c r="C114" s="96">
        <v>35.345</v>
      </c>
      <c r="D114" s="91">
        <v>300.7</v>
      </c>
      <c r="E114" s="91">
        <v>301.476</v>
      </c>
      <c r="F114" s="91">
        <v>301.45</v>
      </c>
      <c r="G114" s="91">
        <v>301.476</v>
      </c>
      <c r="H114" s="91">
        <v>246.5653</v>
      </c>
      <c r="I114" s="91">
        <v>250.5135</v>
      </c>
      <c r="J114" s="91">
        <v>253.0058</v>
      </c>
      <c r="K114" s="91">
        <v>250.506</v>
      </c>
      <c r="L114" s="91">
        <v>35.345</v>
      </c>
    </row>
    <row r="115" spans="1:12" ht="12.75">
      <c r="A115" s="91" t="s">
        <v>421</v>
      </c>
      <c r="B115" s="92">
        <f t="shared" si="3"/>
        <v>80.91666666666613</v>
      </c>
      <c r="C115" s="96">
        <v>34.074</v>
      </c>
      <c r="D115" s="91">
        <v>300.3</v>
      </c>
      <c r="E115" s="91">
        <v>301.657</v>
      </c>
      <c r="F115" s="91">
        <v>302.116</v>
      </c>
      <c r="G115" s="91">
        <v>301.657</v>
      </c>
      <c r="H115" s="91">
        <v>248.9512</v>
      </c>
      <c r="I115" s="91">
        <v>250.9487</v>
      </c>
      <c r="J115" s="91">
        <v>248.1582</v>
      </c>
      <c r="K115" s="91">
        <v>250.946</v>
      </c>
      <c r="L115" s="91">
        <v>34.074</v>
      </c>
    </row>
    <row r="116" spans="1:12" ht="12.75">
      <c r="A116" s="91" t="s">
        <v>422</v>
      </c>
      <c r="B116" s="92">
        <f t="shared" si="3"/>
        <v>80.99999999999946</v>
      </c>
      <c r="C116" s="96">
        <v>32.04</v>
      </c>
      <c r="D116" s="91">
        <v>300.1</v>
      </c>
      <c r="E116" s="91">
        <v>303.2041</v>
      </c>
      <c r="F116" s="91">
        <v>302.7297</v>
      </c>
      <c r="G116" s="91">
        <v>303.204</v>
      </c>
      <c r="H116" s="91">
        <v>235.1241</v>
      </c>
      <c r="I116" s="91">
        <v>233.8304</v>
      </c>
      <c r="J116" s="91">
        <v>244.6996</v>
      </c>
      <c r="K116" s="91">
        <v>233.836</v>
      </c>
      <c r="L116" s="91">
        <v>32.04</v>
      </c>
    </row>
    <row r="117" spans="1:12" ht="12.75">
      <c r="A117" s="91" t="s">
        <v>423</v>
      </c>
      <c r="B117" s="92">
        <f t="shared" si="3"/>
        <v>81.08333333333279</v>
      </c>
      <c r="C117" s="96">
        <v>32.446</v>
      </c>
      <c r="D117" s="91">
        <v>300.4</v>
      </c>
      <c r="E117" s="91">
        <v>302.5044</v>
      </c>
      <c r="F117" s="91">
        <v>302.8575</v>
      </c>
      <c r="G117" s="91">
        <v>302.505</v>
      </c>
      <c r="H117" s="91">
        <v>240.8779</v>
      </c>
      <c r="I117" s="91">
        <v>243.1681</v>
      </c>
      <c r="J117" s="91">
        <v>241.6346</v>
      </c>
      <c r="K117" s="91">
        <v>243.17</v>
      </c>
      <c r="L117" s="91">
        <v>32.446</v>
      </c>
    </row>
    <row r="118" spans="1:12" ht="12.75">
      <c r="A118" s="91" t="s">
        <v>424</v>
      </c>
      <c r="B118" s="92">
        <f t="shared" si="3"/>
        <v>81.16666666666612</v>
      </c>
      <c r="C118" s="96">
        <v>32.446</v>
      </c>
      <c r="D118" s="91">
        <v>300.2</v>
      </c>
      <c r="E118" s="91">
        <v>303.142</v>
      </c>
      <c r="F118" s="91">
        <v>303.0288</v>
      </c>
      <c r="G118" s="91">
        <v>303.142</v>
      </c>
      <c r="H118" s="91">
        <v>249.2368</v>
      </c>
      <c r="I118" s="91">
        <v>259.4958</v>
      </c>
      <c r="J118" s="91">
        <v>236.091</v>
      </c>
      <c r="K118" s="91">
        <v>236.096</v>
      </c>
      <c r="L118" s="91">
        <v>32.446</v>
      </c>
    </row>
    <row r="119" spans="1:12" ht="12.75">
      <c r="A119" s="91" t="s">
        <v>425</v>
      </c>
      <c r="B119" s="92">
        <f t="shared" si="3"/>
        <v>81.24999999999945</v>
      </c>
      <c r="C119" s="96">
        <v>32.701</v>
      </c>
      <c r="D119" s="91">
        <v>300.5</v>
      </c>
      <c r="E119" s="91">
        <v>303.8762</v>
      </c>
      <c r="F119" s="91">
        <v>303.7391</v>
      </c>
      <c r="G119" s="91">
        <v>303.876</v>
      </c>
      <c r="H119" s="91">
        <v>235.1505</v>
      </c>
      <c r="I119" s="91">
        <v>232.643</v>
      </c>
      <c r="J119" s="91">
        <v>228.7352</v>
      </c>
      <c r="K119" s="91">
        <v>232.65</v>
      </c>
      <c r="L119" s="91">
        <v>32.701</v>
      </c>
    </row>
    <row r="120" spans="1:12" ht="12.75">
      <c r="A120" s="91" t="s">
        <v>426</v>
      </c>
      <c r="B120" s="92">
        <f t="shared" si="3"/>
        <v>81.33333333333277</v>
      </c>
      <c r="C120" s="96">
        <v>33.565</v>
      </c>
      <c r="D120" s="91">
        <v>301.1</v>
      </c>
      <c r="E120" s="91">
        <v>301.8712</v>
      </c>
      <c r="F120" s="91">
        <v>304.5673</v>
      </c>
      <c r="G120" s="91">
        <v>301.871</v>
      </c>
      <c r="H120" s="91">
        <v>224.2778</v>
      </c>
      <c r="I120" s="91">
        <v>218.4175</v>
      </c>
      <c r="J120" s="91">
        <v>221.4047</v>
      </c>
      <c r="K120" s="91">
        <v>218.425</v>
      </c>
      <c r="L120" s="91">
        <v>33.565</v>
      </c>
    </row>
    <row r="121" spans="1:12" ht="12.75">
      <c r="A121" s="91" t="s">
        <v>427</v>
      </c>
      <c r="B121" s="92">
        <f t="shared" si="3"/>
        <v>81.4166666666661</v>
      </c>
      <c r="C121" s="96">
        <v>34.786</v>
      </c>
      <c r="D121" s="91">
        <v>309.6</v>
      </c>
      <c r="E121" s="91">
        <v>308.3232</v>
      </c>
      <c r="F121" s="91">
        <v>304.261</v>
      </c>
      <c r="G121" s="91">
        <v>308.323</v>
      </c>
      <c r="H121" s="91">
        <v>219.9257</v>
      </c>
      <c r="I121" s="91">
        <v>210.4855</v>
      </c>
      <c r="J121" s="91">
        <v>215.4661</v>
      </c>
      <c r="K121" s="91">
        <v>210.493</v>
      </c>
      <c r="L121" s="91">
        <v>34.786</v>
      </c>
    </row>
    <row r="122" spans="1:12" ht="12.75">
      <c r="A122" s="91" t="s">
        <v>428</v>
      </c>
      <c r="B122" s="92">
        <f t="shared" si="3"/>
        <v>81.49999999999943</v>
      </c>
      <c r="C122" s="96">
        <v>34.735</v>
      </c>
      <c r="D122" s="91">
        <v>309.9</v>
      </c>
      <c r="E122" s="91">
        <v>306.1296</v>
      </c>
      <c r="F122" s="91">
        <v>302.1407</v>
      </c>
      <c r="G122" s="91">
        <v>306.13</v>
      </c>
      <c r="H122" s="91">
        <v>223.4896</v>
      </c>
      <c r="I122" s="91">
        <v>217.3533</v>
      </c>
      <c r="J122" s="91">
        <v>212.499</v>
      </c>
      <c r="K122" s="91">
        <v>217.355</v>
      </c>
      <c r="L122" s="91">
        <v>34.735</v>
      </c>
    </row>
    <row r="123" spans="1:12" ht="12.75">
      <c r="A123" s="91" t="s">
        <v>429</v>
      </c>
      <c r="B123" s="92">
        <f t="shared" si="3"/>
        <v>81.58333333333276</v>
      </c>
      <c r="C123" s="96">
        <v>34.643</v>
      </c>
      <c r="D123" s="91">
        <v>304.7</v>
      </c>
      <c r="E123" s="91">
        <v>297.4964</v>
      </c>
      <c r="F123" s="91">
        <v>298.943</v>
      </c>
      <c r="G123" s="91">
        <v>297.497</v>
      </c>
      <c r="H123" s="91">
        <v>226.2328</v>
      </c>
      <c r="I123" s="91">
        <v>228.3995</v>
      </c>
      <c r="J123" s="91">
        <v>211.8342</v>
      </c>
      <c r="K123" s="91">
        <v>211.83</v>
      </c>
      <c r="L123" s="91">
        <v>34.643</v>
      </c>
    </row>
    <row r="124" spans="1:12" ht="12.75">
      <c r="A124" s="91" t="s">
        <v>430</v>
      </c>
      <c r="B124" s="92">
        <f t="shared" si="3"/>
        <v>81.66666666666609</v>
      </c>
      <c r="C124" s="96">
        <v>30.626</v>
      </c>
      <c r="D124" s="91">
        <v>297.5</v>
      </c>
      <c r="E124" s="91">
        <v>293.7174</v>
      </c>
      <c r="F124" s="91">
        <v>296.0655</v>
      </c>
      <c r="G124" s="91">
        <v>293.717</v>
      </c>
      <c r="H124" s="91">
        <v>205.5095</v>
      </c>
      <c r="I124" s="91">
        <v>210.1324</v>
      </c>
      <c r="J124" s="91">
        <v>213.2753</v>
      </c>
      <c r="K124" s="91">
        <v>210.119</v>
      </c>
      <c r="L124" s="91">
        <v>30.626</v>
      </c>
    </row>
    <row r="125" spans="1:12" ht="12.75">
      <c r="A125" s="91" t="s">
        <v>431</v>
      </c>
      <c r="B125" s="92">
        <f t="shared" si="3"/>
        <v>81.74999999999942</v>
      </c>
      <c r="C125" s="96">
        <v>28.948</v>
      </c>
      <c r="D125" s="91">
        <v>296</v>
      </c>
      <c r="E125" s="91">
        <v>295.1537</v>
      </c>
      <c r="F125" s="91">
        <v>294.5476</v>
      </c>
      <c r="G125" s="91">
        <v>295.154</v>
      </c>
      <c r="H125" s="91">
        <v>193.9915</v>
      </c>
      <c r="I125" s="91">
        <v>196.7561</v>
      </c>
      <c r="J125" s="91">
        <v>217.7245</v>
      </c>
      <c r="K125" s="91">
        <v>217.713</v>
      </c>
      <c r="L125" s="91">
        <v>28.948</v>
      </c>
    </row>
    <row r="126" spans="1:12" ht="12.75">
      <c r="A126" s="91" t="s">
        <v>432</v>
      </c>
      <c r="B126" s="92">
        <f t="shared" si="3"/>
        <v>81.83333333333275</v>
      </c>
      <c r="C126" s="96">
        <v>31.175</v>
      </c>
      <c r="D126" s="91">
        <v>294.2</v>
      </c>
      <c r="E126" s="91">
        <v>295.5337</v>
      </c>
      <c r="F126" s="91">
        <v>294.4936</v>
      </c>
      <c r="G126" s="91">
        <v>295.534</v>
      </c>
      <c r="H126" s="91">
        <v>216.7555</v>
      </c>
      <c r="I126" s="91">
        <v>221.9127</v>
      </c>
      <c r="J126" s="91">
        <v>225.5131</v>
      </c>
      <c r="K126" s="91">
        <v>221.909</v>
      </c>
      <c r="L126" s="91">
        <v>31.175</v>
      </c>
    </row>
    <row r="127" spans="1:12" ht="12.75">
      <c r="A127" s="91" t="s">
        <v>433</v>
      </c>
      <c r="B127" s="92">
        <f t="shared" si="3"/>
        <v>81.91666666666607</v>
      </c>
      <c r="C127" s="96">
        <v>33.982</v>
      </c>
      <c r="D127" s="91">
        <v>292</v>
      </c>
      <c r="E127" s="91">
        <v>294.8114</v>
      </c>
      <c r="F127" s="91">
        <v>294.7639</v>
      </c>
      <c r="G127" s="91">
        <v>294.811</v>
      </c>
      <c r="H127" s="91">
        <v>234.1782</v>
      </c>
      <c r="I127" s="91">
        <v>236.6736</v>
      </c>
      <c r="J127" s="91">
        <v>234.2763</v>
      </c>
      <c r="K127" s="91">
        <v>236.674</v>
      </c>
      <c r="L127" s="91">
        <v>33.982</v>
      </c>
    </row>
    <row r="128" spans="1:12" ht="12.75">
      <c r="A128" s="91" t="s">
        <v>434</v>
      </c>
      <c r="B128" s="92">
        <f t="shared" si="3"/>
        <v>81.9999999999994</v>
      </c>
      <c r="C128" s="96">
        <v>33.443</v>
      </c>
      <c r="D128" s="91">
        <v>289.4</v>
      </c>
      <c r="E128" s="91">
        <v>293.9645</v>
      </c>
      <c r="F128" s="91">
        <v>294.8711</v>
      </c>
      <c r="G128" s="91">
        <v>293.965</v>
      </c>
      <c r="H128" s="91">
        <v>245.9061</v>
      </c>
      <c r="I128" s="91">
        <v>245.867</v>
      </c>
      <c r="J128" s="91">
        <v>240.5864</v>
      </c>
      <c r="K128" s="91">
        <v>245.877</v>
      </c>
      <c r="L128" s="91">
        <v>33.443</v>
      </c>
    </row>
    <row r="129" spans="1:12" ht="12.75">
      <c r="A129" s="91" t="s">
        <v>435</v>
      </c>
      <c r="B129" s="92">
        <f t="shared" si="3"/>
        <v>82.08333333333273</v>
      </c>
      <c r="C129" s="96">
        <v>32.294</v>
      </c>
      <c r="D129" s="91">
        <v>291.4</v>
      </c>
      <c r="E129" s="91">
        <v>294.8994</v>
      </c>
      <c r="F129" s="91">
        <v>294.8535</v>
      </c>
      <c r="G129" s="91">
        <v>294.899</v>
      </c>
      <c r="H129" s="91">
        <v>239.8282</v>
      </c>
      <c r="I129" s="91">
        <v>241.6982</v>
      </c>
      <c r="J129" s="91">
        <v>244.467</v>
      </c>
      <c r="K129" s="91">
        <v>241.705</v>
      </c>
      <c r="L129" s="91">
        <v>32.294</v>
      </c>
    </row>
    <row r="130" spans="1:12" ht="12.75">
      <c r="A130" s="91" t="s">
        <v>436</v>
      </c>
      <c r="B130" s="92">
        <f t="shared" si="3"/>
        <v>82.16666666666606</v>
      </c>
      <c r="C130" s="96">
        <v>31.785</v>
      </c>
      <c r="D130" s="91">
        <v>291.5</v>
      </c>
      <c r="E130" s="91">
        <v>295.0528</v>
      </c>
      <c r="F130" s="91">
        <v>294.5611</v>
      </c>
      <c r="G130" s="91">
        <v>295.053</v>
      </c>
      <c r="H130" s="91">
        <v>237.4773</v>
      </c>
      <c r="I130" s="91">
        <v>243.4808</v>
      </c>
      <c r="J130" s="91">
        <v>247.2023</v>
      </c>
      <c r="K130" s="91">
        <v>243.511</v>
      </c>
      <c r="L130" s="91">
        <v>31.785</v>
      </c>
    </row>
    <row r="131" spans="1:12" ht="12.75">
      <c r="A131" s="91" t="s">
        <v>437</v>
      </c>
      <c r="B131" s="92">
        <f t="shared" si="3"/>
        <v>82.24999999999939</v>
      </c>
      <c r="C131" s="96">
        <v>33.606</v>
      </c>
      <c r="D131" s="91">
        <v>290.9</v>
      </c>
      <c r="E131" s="91">
        <v>293.9292</v>
      </c>
      <c r="F131" s="91">
        <v>293.4652</v>
      </c>
      <c r="G131" s="91">
        <v>293.929</v>
      </c>
      <c r="H131" s="91">
        <v>254.0875</v>
      </c>
      <c r="I131" s="91">
        <v>248.336</v>
      </c>
      <c r="J131" s="91">
        <v>248.9042</v>
      </c>
      <c r="K131" s="91">
        <v>248.349</v>
      </c>
      <c r="L131" s="91">
        <v>33.606</v>
      </c>
    </row>
    <row r="132" spans="1:12" ht="12.75">
      <c r="A132" s="91" t="s">
        <v>438</v>
      </c>
      <c r="B132" s="92">
        <f aca="true" t="shared" si="4" ref="B132:B195">B131+1/12</f>
        <v>82.33333333333272</v>
      </c>
      <c r="C132" s="96">
        <v>33.992</v>
      </c>
      <c r="D132" s="91">
        <v>290.7</v>
      </c>
      <c r="E132" s="91">
        <v>291.1349</v>
      </c>
      <c r="F132" s="91">
        <v>291.4128</v>
      </c>
      <c r="G132" s="91">
        <v>291.135</v>
      </c>
      <c r="H132" s="91">
        <v>260.8846</v>
      </c>
      <c r="I132" s="91">
        <v>253.0666</v>
      </c>
      <c r="J132" s="91">
        <v>247.6193</v>
      </c>
      <c r="K132" s="91">
        <v>253.084</v>
      </c>
      <c r="L132" s="91">
        <v>33.992</v>
      </c>
    </row>
    <row r="133" spans="1:12" ht="12.75">
      <c r="A133" s="91" t="s">
        <v>439</v>
      </c>
      <c r="B133" s="92">
        <f t="shared" si="4"/>
        <v>82.41666666666605</v>
      </c>
      <c r="C133" s="96">
        <v>32.355</v>
      </c>
      <c r="D133" s="91">
        <v>291.1</v>
      </c>
      <c r="E133" s="91">
        <v>288.3669</v>
      </c>
      <c r="F133" s="91">
        <v>288.7612</v>
      </c>
      <c r="G133" s="91">
        <v>288.367</v>
      </c>
      <c r="H133" s="91">
        <v>251.7743</v>
      </c>
      <c r="I133" s="91">
        <v>243.1235</v>
      </c>
      <c r="J133" s="91">
        <v>241.4098</v>
      </c>
      <c r="K133" s="91">
        <v>243.138</v>
      </c>
      <c r="L133" s="91">
        <v>32.355</v>
      </c>
    </row>
    <row r="134" spans="1:12" ht="12.75">
      <c r="A134" s="91" t="s">
        <v>440</v>
      </c>
      <c r="B134" s="92">
        <f t="shared" si="4"/>
        <v>82.49999999999937</v>
      </c>
      <c r="C134" s="96">
        <v>30.605</v>
      </c>
      <c r="D134" s="91">
        <v>291.1</v>
      </c>
      <c r="E134" s="91">
        <v>285.4063</v>
      </c>
      <c r="F134" s="91">
        <v>285.6051</v>
      </c>
      <c r="G134" s="91">
        <v>285.406</v>
      </c>
      <c r="H134" s="91">
        <v>222.3677</v>
      </c>
      <c r="I134" s="91">
        <v>216.9924</v>
      </c>
      <c r="J134" s="91">
        <v>230.9953</v>
      </c>
      <c r="K134" s="91">
        <v>231.01</v>
      </c>
      <c r="L134" s="91">
        <v>30.605</v>
      </c>
    </row>
    <row r="135" spans="1:12" ht="12.75">
      <c r="A135" s="91" t="s">
        <v>441</v>
      </c>
      <c r="B135" s="92">
        <f t="shared" si="4"/>
        <v>82.5833333333327</v>
      </c>
      <c r="C135" s="96">
        <v>30.961</v>
      </c>
      <c r="D135" s="91">
        <v>290.7</v>
      </c>
      <c r="E135" s="91">
        <v>282.2246</v>
      </c>
      <c r="F135" s="91">
        <v>281.6781</v>
      </c>
      <c r="G135" s="91">
        <v>282.225</v>
      </c>
      <c r="H135" s="91">
        <v>215.831</v>
      </c>
      <c r="I135" s="91">
        <v>215.8156</v>
      </c>
      <c r="J135" s="91">
        <v>221.3038</v>
      </c>
      <c r="K135" s="91">
        <v>215.83</v>
      </c>
      <c r="L135" s="91">
        <v>30.961</v>
      </c>
    </row>
    <row r="136" spans="1:12" ht="12.75">
      <c r="A136" s="91" t="s">
        <v>442</v>
      </c>
      <c r="B136" s="92">
        <f t="shared" si="4"/>
        <v>82.66666666666603</v>
      </c>
      <c r="C136" s="96">
        <v>29.649</v>
      </c>
      <c r="D136" s="91">
        <v>290.3</v>
      </c>
      <c r="E136" s="91">
        <v>286.117</v>
      </c>
      <c r="F136" s="91">
        <v>276.7298</v>
      </c>
      <c r="G136" s="91">
        <v>276.73</v>
      </c>
      <c r="H136" s="91">
        <v>211.661</v>
      </c>
      <c r="I136" s="91">
        <v>216.9367</v>
      </c>
      <c r="J136" s="91">
        <v>215.7895</v>
      </c>
      <c r="K136" s="91">
        <v>216.926</v>
      </c>
      <c r="L136" s="91">
        <v>29.649</v>
      </c>
    </row>
    <row r="137" spans="1:12" ht="12.75">
      <c r="A137" s="91" t="s">
        <v>443</v>
      </c>
      <c r="B137" s="92">
        <f t="shared" si="4"/>
        <v>82.74999999999936</v>
      </c>
      <c r="C137" s="96">
        <v>28.48</v>
      </c>
      <c r="D137" s="91">
        <v>271.1</v>
      </c>
      <c r="E137" s="91">
        <v>270.2511</v>
      </c>
      <c r="F137" s="91">
        <v>270.9529</v>
      </c>
      <c r="G137" s="91">
        <v>270.251</v>
      </c>
      <c r="H137" s="91">
        <v>208.184</v>
      </c>
      <c r="I137" s="91">
        <v>212.9195</v>
      </c>
      <c r="J137" s="91">
        <v>214.7084</v>
      </c>
      <c r="K137" s="91">
        <v>212.797</v>
      </c>
      <c r="L137" s="91">
        <v>28.48</v>
      </c>
    </row>
    <row r="138" spans="1:12" ht="12.75">
      <c r="A138" s="91" t="s">
        <v>444</v>
      </c>
      <c r="B138" s="92">
        <f t="shared" si="4"/>
        <v>82.83333333333269</v>
      </c>
      <c r="C138" s="96">
        <v>29.232</v>
      </c>
      <c r="D138" s="91">
        <v>252</v>
      </c>
      <c r="E138" s="91">
        <v>253.9198</v>
      </c>
      <c r="F138" s="91">
        <v>265.2463</v>
      </c>
      <c r="G138" s="91">
        <v>265.246</v>
      </c>
      <c r="H138" s="91">
        <v>212.7552</v>
      </c>
      <c r="I138" s="91">
        <v>220.3866</v>
      </c>
      <c r="J138" s="91">
        <v>215.7205</v>
      </c>
      <c r="K138" s="91">
        <v>220.394</v>
      </c>
      <c r="L138" s="91">
        <v>29.232</v>
      </c>
    </row>
    <row r="139" spans="1:12" ht="12.75">
      <c r="A139" s="91" t="s">
        <v>445</v>
      </c>
      <c r="B139" s="92">
        <f t="shared" si="4"/>
        <v>82.91666666666602</v>
      </c>
      <c r="C139" s="96">
        <v>29.039</v>
      </c>
      <c r="D139" s="91">
        <v>251.7</v>
      </c>
      <c r="E139" s="91">
        <v>255.4619</v>
      </c>
      <c r="F139" s="91">
        <v>260.6601</v>
      </c>
      <c r="G139" s="91">
        <v>260.66</v>
      </c>
      <c r="H139" s="91">
        <v>211.9132</v>
      </c>
      <c r="I139" s="91">
        <v>214.8773</v>
      </c>
      <c r="J139" s="91">
        <v>218.012</v>
      </c>
      <c r="K139" s="91">
        <v>214.885</v>
      </c>
      <c r="L139" s="91">
        <v>29.039</v>
      </c>
    </row>
    <row r="140" spans="1:12" ht="12.75">
      <c r="A140" s="91" t="s">
        <v>446</v>
      </c>
      <c r="B140" s="92">
        <f t="shared" si="4"/>
        <v>82.99999999999935</v>
      </c>
      <c r="C140" s="96">
        <v>29.293</v>
      </c>
      <c r="D140" s="91">
        <v>251.5</v>
      </c>
      <c r="E140" s="91">
        <v>257.0497</v>
      </c>
      <c r="F140" s="91">
        <v>257.7411</v>
      </c>
      <c r="G140" s="91">
        <v>257.05</v>
      </c>
      <c r="H140" s="91">
        <v>218.4616</v>
      </c>
      <c r="I140" s="91">
        <v>219.6501</v>
      </c>
      <c r="J140" s="91">
        <v>220.6724</v>
      </c>
      <c r="K140" s="91">
        <v>219.66</v>
      </c>
      <c r="L140" s="91">
        <v>29.293</v>
      </c>
    </row>
    <row r="141" spans="1:12" ht="12.75">
      <c r="A141" s="91" t="s">
        <v>447</v>
      </c>
      <c r="B141" s="92">
        <f t="shared" si="4"/>
        <v>83.08333333333267</v>
      </c>
      <c r="C141" s="96">
        <v>29.456</v>
      </c>
      <c r="D141" s="91">
        <v>251.8</v>
      </c>
      <c r="E141" s="91">
        <v>256.373</v>
      </c>
      <c r="F141" s="91">
        <v>256.166</v>
      </c>
      <c r="G141" s="91">
        <v>256.373</v>
      </c>
      <c r="H141" s="91">
        <v>220.2567</v>
      </c>
      <c r="I141" s="91">
        <v>221.9602</v>
      </c>
      <c r="J141" s="91">
        <v>222.129</v>
      </c>
      <c r="K141" s="91">
        <v>221.986</v>
      </c>
      <c r="L141" s="91">
        <v>29.456</v>
      </c>
    </row>
    <row r="142" spans="1:12" ht="12.75">
      <c r="A142" s="91" t="s">
        <v>448</v>
      </c>
      <c r="B142" s="92">
        <f t="shared" si="4"/>
        <v>83.166666666666</v>
      </c>
      <c r="C142" s="96">
        <v>29.446</v>
      </c>
      <c r="D142" s="91">
        <v>251.6</v>
      </c>
      <c r="E142" s="91">
        <v>255.3568</v>
      </c>
      <c r="F142" s="91">
        <v>255.1051</v>
      </c>
      <c r="G142" s="91">
        <v>255.357</v>
      </c>
      <c r="H142" s="91">
        <v>225.6594</v>
      </c>
      <c r="I142" s="91">
        <v>228.1541</v>
      </c>
      <c r="J142" s="91">
        <v>220.8471</v>
      </c>
      <c r="K142" s="91">
        <v>228.19</v>
      </c>
      <c r="L142" s="91">
        <v>29.446</v>
      </c>
    </row>
    <row r="143" spans="1:12" ht="12.75">
      <c r="A143" s="91" t="s">
        <v>449</v>
      </c>
      <c r="B143" s="92">
        <f t="shared" si="4"/>
        <v>83.24999999999933</v>
      </c>
      <c r="C143" s="96">
        <v>29.161</v>
      </c>
      <c r="D143" s="91">
        <v>251.6</v>
      </c>
      <c r="E143" s="91">
        <v>254.1626</v>
      </c>
      <c r="F143" s="91">
        <v>253.7597</v>
      </c>
      <c r="G143" s="91">
        <v>254.163</v>
      </c>
      <c r="H143" s="91">
        <v>223.401</v>
      </c>
      <c r="I143" s="91">
        <v>215.6469</v>
      </c>
      <c r="J143" s="91">
        <v>217.5086</v>
      </c>
      <c r="K143" s="91">
        <v>215.668</v>
      </c>
      <c r="L143" s="91">
        <v>29.161</v>
      </c>
    </row>
    <row r="144" spans="1:12" ht="12.75">
      <c r="A144" s="91" t="s">
        <v>450</v>
      </c>
      <c r="B144" s="92">
        <f t="shared" si="4"/>
        <v>83.33333333333266</v>
      </c>
      <c r="C144" s="96">
        <v>29.07</v>
      </c>
      <c r="D144" s="91">
        <v>251.8</v>
      </c>
      <c r="E144" s="91">
        <v>251.6903</v>
      </c>
      <c r="F144" s="91">
        <v>251.2237</v>
      </c>
      <c r="G144" s="91">
        <v>251.69</v>
      </c>
      <c r="H144" s="91">
        <v>217.2946</v>
      </c>
      <c r="I144" s="91">
        <v>210.0041</v>
      </c>
      <c r="J144" s="91">
        <v>214.3408</v>
      </c>
      <c r="K144" s="91">
        <v>210.027</v>
      </c>
      <c r="L144" s="91">
        <v>29.07</v>
      </c>
    </row>
    <row r="145" spans="1:12" ht="12.75">
      <c r="A145" s="91" t="s">
        <v>451</v>
      </c>
      <c r="B145" s="92">
        <f t="shared" si="4"/>
        <v>83.41666666666599</v>
      </c>
      <c r="C145" s="96">
        <v>28.744</v>
      </c>
      <c r="D145" s="91">
        <v>251.5</v>
      </c>
      <c r="E145" s="91">
        <v>248.7164</v>
      </c>
      <c r="F145" s="91">
        <v>247.9229</v>
      </c>
      <c r="G145" s="91">
        <v>248.717</v>
      </c>
      <c r="H145" s="91">
        <v>220.95</v>
      </c>
      <c r="I145" s="91">
        <v>214.7432</v>
      </c>
      <c r="J145" s="91">
        <v>215.2158</v>
      </c>
      <c r="K145" s="91">
        <v>214.763</v>
      </c>
      <c r="L145" s="91">
        <v>28.744</v>
      </c>
    </row>
    <row r="146" spans="1:12" ht="12.75">
      <c r="A146" s="91" t="s">
        <v>452</v>
      </c>
      <c r="B146" s="92">
        <f t="shared" si="4"/>
        <v>83.49999999999932</v>
      </c>
      <c r="C146" s="96">
        <v>28.775</v>
      </c>
      <c r="D146" s="91">
        <v>251.4</v>
      </c>
      <c r="E146" s="91">
        <v>245.0855</v>
      </c>
      <c r="F146" s="91">
        <v>245.2642</v>
      </c>
      <c r="G146" s="91">
        <v>245.086</v>
      </c>
      <c r="H146" s="91">
        <v>223.7977</v>
      </c>
      <c r="I146" s="91">
        <v>219.2134</v>
      </c>
      <c r="J146" s="91">
        <v>219.8875</v>
      </c>
      <c r="K146" s="91">
        <v>219.204</v>
      </c>
      <c r="L146" s="91">
        <v>28.775</v>
      </c>
    </row>
    <row r="147" spans="1:12" ht="12.75">
      <c r="A147" s="91" t="s">
        <v>453</v>
      </c>
      <c r="B147" s="92">
        <f t="shared" si="4"/>
        <v>83.58333333333265</v>
      </c>
      <c r="C147" s="96">
        <v>29.12</v>
      </c>
      <c r="D147" s="91">
        <v>251.3</v>
      </c>
      <c r="E147" s="91">
        <v>241.8387</v>
      </c>
      <c r="F147" s="91">
        <v>244.6718</v>
      </c>
      <c r="G147" s="91">
        <v>241.839</v>
      </c>
      <c r="H147" s="91">
        <v>230.6473</v>
      </c>
      <c r="I147" s="91">
        <v>227.7138</v>
      </c>
      <c r="J147" s="91">
        <v>225.5276</v>
      </c>
      <c r="K147" s="91">
        <v>227.739</v>
      </c>
      <c r="L147" s="91">
        <v>29.12</v>
      </c>
    </row>
    <row r="148" spans="1:12" ht="12.75">
      <c r="A148" s="91" t="s">
        <v>454</v>
      </c>
      <c r="B148" s="92">
        <f t="shared" si="4"/>
        <v>83.66666666666598</v>
      </c>
      <c r="C148" s="96">
        <v>29.009</v>
      </c>
      <c r="D148" s="91">
        <v>251.5</v>
      </c>
      <c r="E148" s="91">
        <v>247.1777</v>
      </c>
      <c r="F148" s="91">
        <v>246.5627</v>
      </c>
      <c r="G148" s="91">
        <v>247.178</v>
      </c>
      <c r="H148" s="91">
        <v>226.8562</v>
      </c>
      <c r="I148" s="91">
        <v>233.5414</v>
      </c>
      <c r="J148" s="91">
        <v>229.643</v>
      </c>
      <c r="K148" s="91">
        <v>233.53</v>
      </c>
      <c r="L148" s="91">
        <v>29.009</v>
      </c>
    </row>
    <row r="149" spans="1:12" ht="12.75">
      <c r="A149" s="91" t="s">
        <v>455</v>
      </c>
      <c r="B149" s="92">
        <f t="shared" si="4"/>
        <v>83.7499999999993</v>
      </c>
      <c r="C149" s="96">
        <v>29.019</v>
      </c>
      <c r="D149" s="91">
        <v>251.8</v>
      </c>
      <c r="E149" s="91">
        <v>250.7364</v>
      </c>
      <c r="F149" s="91">
        <v>250.2269</v>
      </c>
      <c r="G149" s="91">
        <v>250.736</v>
      </c>
      <c r="H149" s="91">
        <v>220.6299</v>
      </c>
      <c r="I149" s="91">
        <v>226.7312</v>
      </c>
      <c r="J149" s="91">
        <v>231.9824</v>
      </c>
      <c r="K149" s="91">
        <v>226.518</v>
      </c>
      <c r="L149" s="91">
        <v>29.019</v>
      </c>
    </row>
    <row r="150" spans="1:12" ht="12.75">
      <c r="A150" s="91" t="s">
        <v>456</v>
      </c>
      <c r="B150" s="92">
        <f t="shared" si="4"/>
        <v>83.83333333333263</v>
      </c>
      <c r="C150" s="96">
        <v>28.907</v>
      </c>
      <c r="D150" s="91">
        <v>252.2</v>
      </c>
      <c r="E150" s="91">
        <v>254.6083</v>
      </c>
      <c r="F150" s="91">
        <v>254.1403</v>
      </c>
      <c r="G150" s="91">
        <v>254.608</v>
      </c>
      <c r="H150" s="91">
        <v>224.0998</v>
      </c>
      <c r="I150" s="91">
        <v>234.2552</v>
      </c>
      <c r="J150" s="91">
        <v>233.4428</v>
      </c>
      <c r="K150" s="91">
        <v>234.27</v>
      </c>
      <c r="L150" s="91">
        <v>28.907</v>
      </c>
    </row>
    <row r="151" spans="1:12" ht="12.75">
      <c r="A151" s="91" t="s">
        <v>457</v>
      </c>
      <c r="B151" s="92">
        <f t="shared" si="4"/>
        <v>83.91666666666596</v>
      </c>
      <c r="C151" s="96">
        <v>28.856</v>
      </c>
      <c r="D151" s="91">
        <v>252</v>
      </c>
      <c r="E151" s="91">
        <v>256.5979</v>
      </c>
      <c r="F151" s="91">
        <v>256.9002</v>
      </c>
      <c r="G151" s="91">
        <v>256.598</v>
      </c>
      <c r="H151" s="91">
        <v>232.8606</v>
      </c>
      <c r="I151" s="91">
        <v>237.9235</v>
      </c>
      <c r="J151" s="91">
        <v>235.0013</v>
      </c>
      <c r="K151" s="91">
        <v>237.934</v>
      </c>
      <c r="L151" s="91">
        <v>28.856</v>
      </c>
    </row>
    <row r="152" spans="1:12" ht="12.75">
      <c r="A152" s="91" t="s">
        <v>458</v>
      </c>
      <c r="B152" s="92">
        <f t="shared" si="4"/>
        <v>83.99999999999929</v>
      </c>
      <c r="C152" s="96">
        <v>28.592</v>
      </c>
      <c r="D152" s="91">
        <v>252</v>
      </c>
      <c r="E152" s="91">
        <v>258.8934</v>
      </c>
      <c r="F152" s="91">
        <v>258.1072</v>
      </c>
      <c r="G152" s="91">
        <v>258.893</v>
      </c>
      <c r="H152" s="91">
        <v>231.3733</v>
      </c>
      <c r="I152" s="91">
        <v>233.865</v>
      </c>
      <c r="J152" s="91">
        <v>237.0001</v>
      </c>
      <c r="K152" s="91">
        <v>233.876</v>
      </c>
      <c r="L152" s="91">
        <v>28.592</v>
      </c>
    </row>
    <row r="153" spans="1:12" ht="12.75">
      <c r="A153" s="91" t="s">
        <v>459</v>
      </c>
      <c r="B153" s="92">
        <f t="shared" si="4"/>
        <v>84.08333333333262</v>
      </c>
      <c r="C153" s="96">
        <v>27.951</v>
      </c>
      <c r="D153" s="91">
        <v>251.7</v>
      </c>
      <c r="E153" s="91">
        <v>257.7986</v>
      </c>
      <c r="F153" s="91">
        <v>257.9966</v>
      </c>
      <c r="G153" s="91">
        <v>257.799</v>
      </c>
      <c r="H153" s="91">
        <v>238.359</v>
      </c>
      <c r="I153" s="91">
        <v>239.419</v>
      </c>
      <c r="J153" s="91">
        <v>239.0881</v>
      </c>
      <c r="K153" s="91">
        <v>239.471</v>
      </c>
      <c r="L153" s="91">
        <v>27.951</v>
      </c>
    </row>
    <row r="154" spans="1:12" ht="12.75">
      <c r="A154" s="91" t="s">
        <v>460</v>
      </c>
      <c r="B154" s="92">
        <f t="shared" si="4"/>
        <v>84.16666666666595</v>
      </c>
      <c r="C154" s="96">
        <v>28.205</v>
      </c>
      <c r="D154" s="91">
        <v>251.8</v>
      </c>
      <c r="E154" s="91">
        <v>256.4957</v>
      </c>
      <c r="F154" s="91">
        <v>256.7207</v>
      </c>
      <c r="G154" s="91">
        <v>256.496</v>
      </c>
      <c r="H154" s="91">
        <v>241.5371</v>
      </c>
      <c r="I154" s="91">
        <v>241.1343</v>
      </c>
      <c r="J154" s="91">
        <v>240.3419</v>
      </c>
      <c r="K154" s="91">
        <v>241.188</v>
      </c>
      <c r="L154" s="91">
        <v>28.205</v>
      </c>
    </row>
    <row r="155" spans="1:12" ht="12.75">
      <c r="A155" s="91" t="s">
        <v>461</v>
      </c>
      <c r="B155" s="92">
        <f t="shared" si="4"/>
        <v>84.24999999999928</v>
      </c>
      <c r="C155" s="96">
        <v>28.366</v>
      </c>
      <c r="D155" s="91">
        <v>251.6</v>
      </c>
      <c r="E155" s="91">
        <v>254.7711</v>
      </c>
      <c r="F155" s="91">
        <v>254.5489</v>
      </c>
      <c r="G155" s="91">
        <v>254.771</v>
      </c>
      <c r="H155" s="91">
        <v>251.0671</v>
      </c>
      <c r="I155" s="91">
        <v>241.2299</v>
      </c>
      <c r="J155" s="91">
        <v>240.727</v>
      </c>
      <c r="K155" s="91">
        <v>241.269</v>
      </c>
      <c r="L155" s="91">
        <v>28.366</v>
      </c>
    </row>
    <row r="156" spans="1:12" ht="12.75">
      <c r="A156" s="91" t="s">
        <v>462</v>
      </c>
      <c r="B156" s="92">
        <f t="shared" si="4"/>
        <v>84.3333333333326</v>
      </c>
      <c r="C156" s="96">
        <v>28.135</v>
      </c>
      <c r="D156" s="91">
        <v>251.5</v>
      </c>
      <c r="E156" s="91">
        <v>251.3056</v>
      </c>
      <c r="F156" s="91">
        <v>251.4384</v>
      </c>
      <c r="G156" s="91">
        <v>251.306</v>
      </c>
      <c r="H156" s="91">
        <v>251.6154</v>
      </c>
      <c r="I156" s="91">
        <v>242.4966</v>
      </c>
      <c r="J156" s="91">
        <v>239.8275</v>
      </c>
      <c r="K156" s="91">
        <v>242.536</v>
      </c>
      <c r="L156" s="91">
        <v>28.135</v>
      </c>
    </row>
    <row r="157" spans="1:12" ht="12.75">
      <c r="A157" s="91" t="s">
        <v>463</v>
      </c>
      <c r="B157" s="92">
        <f t="shared" si="4"/>
        <v>84.41666666666593</v>
      </c>
      <c r="C157" s="96">
        <v>27.723</v>
      </c>
      <c r="D157" s="91">
        <v>251.6</v>
      </c>
      <c r="E157" s="91">
        <v>248.7667</v>
      </c>
      <c r="F157" s="91">
        <v>247.5873</v>
      </c>
      <c r="G157" s="91">
        <v>248.767</v>
      </c>
      <c r="H157" s="91">
        <v>242.0258</v>
      </c>
      <c r="I157" s="91">
        <v>236.6027</v>
      </c>
      <c r="J157" s="91">
        <v>239.1251</v>
      </c>
      <c r="K157" s="91">
        <v>236.63</v>
      </c>
      <c r="L157" s="91">
        <v>27.723</v>
      </c>
    </row>
    <row r="158" spans="1:12" ht="12.75">
      <c r="A158" s="91" t="s">
        <v>464</v>
      </c>
      <c r="B158" s="92">
        <f t="shared" si="4"/>
        <v>84.49999999999926</v>
      </c>
      <c r="C158" s="96">
        <v>27.076</v>
      </c>
      <c r="D158" s="91">
        <v>251.4</v>
      </c>
      <c r="E158" s="91">
        <v>243.9045</v>
      </c>
      <c r="F158" s="91">
        <v>243.9099</v>
      </c>
      <c r="G158" s="91">
        <v>243.905</v>
      </c>
      <c r="H158" s="91">
        <v>245.4151</v>
      </c>
      <c r="I158" s="91">
        <v>241.5355</v>
      </c>
      <c r="J158" s="91">
        <v>242.9914</v>
      </c>
      <c r="K158" s="91">
        <v>241.517</v>
      </c>
      <c r="L158" s="91">
        <v>27.076</v>
      </c>
    </row>
    <row r="159" spans="1:12" ht="12.75">
      <c r="A159" s="91" t="s">
        <v>465</v>
      </c>
      <c r="B159" s="92">
        <f t="shared" si="4"/>
        <v>84.58333333333259</v>
      </c>
      <c r="C159" s="96">
        <v>26.945</v>
      </c>
      <c r="D159" s="91">
        <v>251.3</v>
      </c>
      <c r="E159" s="91">
        <v>240.0321</v>
      </c>
      <c r="F159" s="91">
        <v>241.8184</v>
      </c>
      <c r="G159" s="91">
        <v>240.032</v>
      </c>
      <c r="H159" s="91">
        <v>253.8557</v>
      </c>
      <c r="I159" s="91">
        <v>247.4648</v>
      </c>
      <c r="J159" s="91">
        <v>252.3301</v>
      </c>
      <c r="K159" s="91">
        <v>247.501</v>
      </c>
      <c r="L159" s="91">
        <v>26.945</v>
      </c>
    </row>
    <row r="160" spans="1:12" ht="12.75">
      <c r="A160" s="91" t="s">
        <v>466</v>
      </c>
      <c r="B160" s="92">
        <f t="shared" si="4"/>
        <v>84.66666666666592</v>
      </c>
      <c r="C160" s="96">
        <v>28.179</v>
      </c>
      <c r="D160" s="91">
        <v>246.6</v>
      </c>
      <c r="E160" s="91">
        <v>241.2623</v>
      </c>
      <c r="F160" s="91">
        <v>242.0897</v>
      </c>
      <c r="G160" s="91">
        <v>241.262</v>
      </c>
      <c r="H160" s="91">
        <v>279.1435</v>
      </c>
      <c r="I160" s="91">
        <v>288.0098</v>
      </c>
      <c r="J160" s="91">
        <v>263.1687</v>
      </c>
      <c r="K160" s="91">
        <v>263.336</v>
      </c>
      <c r="L160" s="91">
        <v>28.179</v>
      </c>
    </row>
    <row r="161" spans="1:12" ht="12.75">
      <c r="A161" s="91" t="s">
        <v>467</v>
      </c>
      <c r="B161" s="92">
        <f t="shared" si="4"/>
        <v>84.74999999999925</v>
      </c>
      <c r="C161" s="96">
        <v>27.968</v>
      </c>
      <c r="D161" s="91">
        <v>246.2</v>
      </c>
      <c r="E161" s="91">
        <v>245.3924</v>
      </c>
      <c r="F161" s="91">
        <v>244.564</v>
      </c>
      <c r="G161" s="91">
        <v>245.392</v>
      </c>
      <c r="H161" s="91">
        <v>278.2821</v>
      </c>
      <c r="I161" s="91">
        <v>287.6418</v>
      </c>
      <c r="J161" s="91">
        <v>269.5463</v>
      </c>
      <c r="K161" s="91">
        <v>287.299</v>
      </c>
      <c r="L161" s="91">
        <v>27.968</v>
      </c>
    </row>
    <row r="162" spans="1:12" ht="12.75">
      <c r="A162" s="91" t="s">
        <v>468</v>
      </c>
      <c r="B162" s="92">
        <f t="shared" si="4"/>
        <v>84.83333333333258</v>
      </c>
      <c r="C162" s="96">
        <v>27.826</v>
      </c>
      <c r="D162" s="91">
        <v>246.6</v>
      </c>
      <c r="E162" s="91">
        <v>248.4265</v>
      </c>
      <c r="F162" s="91">
        <v>248.2388</v>
      </c>
      <c r="G162" s="91">
        <v>248.427</v>
      </c>
      <c r="H162" s="91">
        <v>254.7278</v>
      </c>
      <c r="I162" s="91">
        <v>266.8562</v>
      </c>
      <c r="J162" s="91">
        <v>267.3756</v>
      </c>
      <c r="K162" s="91">
        <v>266.868</v>
      </c>
      <c r="L162" s="91">
        <v>27.826</v>
      </c>
    </row>
    <row r="163" spans="1:12" ht="12.75">
      <c r="A163" s="91" t="s">
        <v>469</v>
      </c>
      <c r="B163" s="92">
        <f t="shared" si="4"/>
        <v>84.9166666666659</v>
      </c>
      <c r="C163" s="96">
        <v>26.688</v>
      </c>
      <c r="D163" s="91">
        <v>246.5</v>
      </c>
      <c r="E163" s="91">
        <v>251.0662</v>
      </c>
      <c r="F163" s="91">
        <v>251.4825</v>
      </c>
      <c r="G163" s="91">
        <v>251.066</v>
      </c>
      <c r="H163" s="91">
        <v>247.8314</v>
      </c>
      <c r="I163" s="91">
        <v>253.9827</v>
      </c>
      <c r="J163" s="91">
        <v>256.7753</v>
      </c>
      <c r="K163" s="91">
        <v>253.977</v>
      </c>
      <c r="L163" s="91">
        <v>26.688</v>
      </c>
    </row>
    <row r="164" spans="1:12" ht="12.75">
      <c r="A164" s="91" t="s">
        <v>470</v>
      </c>
      <c r="B164" s="92">
        <f t="shared" si="4"/>
        <v>84.99999999999923</v>
      </c>
      <c r="C164" s="96">
        <v>26.5</v>
      </c>
      <c r="D164" s="91">
        <v>246.6</v>
      </c>
      <c r="E164" s="91">
        <v>254.164</v>
      </c>
      <c r="F164" s="91">
        <v>253.3556</v>
      </c>
      <c r="G164" s="91">
        <v>254.164</v>
      </c>
      <c r="H164" s="91">
        <v>239.8936</v>
      </c>
      <c r="I164" s="91">
        <v>243.7265</v>
      </c>
      <c r="J164" s="91">
        <v>242.6251</v>
      </c>
      <c r="K164" s="91">
        <v>243.704</v>
      </c>
      <c r="L164" s="91">
        <v>26.318</v>
      </c>
    </row>
    <row r="165" spans="1:12" ht="12.75">
      <c r="A165" s="91" t="s">
        <v>471</v>
      </c>
      <c r="B165" s="92">
        <f t="shared" si="4"/>
        <v>85.08333333333256</v>
      </c>
      <c r="C165" s="96">
        <v>26.6</v>
      </c>
      <c r="D165" s="91">
        <v>246.8</v>
      </c>
      <c r="E165" s="91">
        <v>254.2194</v>
      </c>
      <c r="F165" s="91">
        <v>253.5074</v>
      </c>
      <c r="G165" s="91">
        <v>254.219</v>
      </c>
      <c r="H165" s="91">
        <v>228.7642</v>
      </c>
      <c r="I165" s="91">
        <v>229.0556</v>
      </c>
      <c r="J165" s="91">
        <v>230.9129</v>
      </c>
      <c r="K165" s="91">
        <v>229.085</v>
      </c>
      <c r="L165" s="91">
        <v>26.675</v>
      </c>
    </row>
    <row r="166" spans="1:12" ht="12.75">
      <c r="A166" s="91" t="s">
        <v>472</v>
      </c>
      <c r="B166" s="92">
        <f t="shared" si="4"/>
        <v>85.16666666666589</v>
      </c>
      <c r="C166" s="96">
        <v>27.2</v>
      </c>
      <c r="D166" s="91">
        <v>246.2</v>
      </c>
      <c r="E166" s="91">
        <v>251.4521</v>
      </c>
      <c r="F166" s="91">
        <v>252.1305</v>
      </c>
      <c r="G166" s="91">
        <v>251.452</v>
      </c>
      <c r="H166" s="91">
        <v>219.966</v>
      </c>
      <c r="I166" s="91">
        <v>217.2844</v>
      </c>
      <c r="J166" s="91">
        <v>223.1444</v>
      </c>
      <c r="K166" s="91">
        <v>217.434</v>
      </c>
      <c r="L166" s="91">
        <v>27.091</v>
      </c>
    </row>
    <row r="167" spans="1:12" ht="12.75">
      <c r="A167" s="91" t="s">
        <v>473</v>
      </c>
      <c r="B167" s="92">
        <f t="shared" si="4"/>
        <v>85.24999999999922</v>
      </c>
      <c r="C167" s="96">
        <v>27.2</v>
      </c>
      <c r="D167" s="91">
        <v>245.6</v>
      </c>
      <c r="E167" s="91">
        <v>249.9106</v>
      </c>
      <c r="F167" s="91">
        <v>249.8746</v>
      </c>
      <c r="G167" s="91">
        <v>249.911</v>
      </c>
      <c r="H167" s="91">
        <v>228.7118</v>
      </c>
      <c r="I167" s="91">
        <v>220.4558</v>
      </c>
      <c r="J167" s="91">
        <v>216.218</v>
      </c>
      <c r="K167" s="91">
        <v>220.468</v>
      </c>
      <c r="L167" s="91">
        <v>27.649</v>
      </c>
    </row>
    <row r="168" spans="1:12" ht="12.75">
      <c r="A168" s="91" t="s">
        <v>474</v>
      </c>
      <c r="B168" s="92">
        <f t="shared" si="4"/>
        <v>85.33333333333255</v>
      </c>
      <c r="C168" s="96">
        <v>27.9</v>
      </c>
      <c r="D168" s="91">
        <v>246</v>
      </c>
      <c r="E168" s="91">
        <v>245.6236</v>
      </c>
      <c r="F168" s="91">
        <v>247.5262</v>
      </c>
      <c r="G168" s="91">
        <v>245.624</v>
      </c>
      <c r="H168" s="91">
        <v>218.4362</v>
      </c>
      <c r="I168" s="91">
        <v>210.3086</v>
      </c>
      <c r="J168" s="91">
        <v>207.8188</v>
      </c>
      <c r="K168" s="91">
        <v>210.388</v>
      </c>
      <c r="L168" s="91">
        <v>28.45</v>
      </c>
    </row>
    <row r="169" spans="1:12" ht="12.75">
      <c r="A169" s="91" t="s">
        <v>475</v>
      </c>
      <c r="B169" s="92">
        <f t="shared" si="4"/>
        <v>85.41666666666588</v>
      </c>
      <c r="C169" s="96">
        <v>29.1</v>
      </c>
      <c r="D169" s="91">
        <v>246.2</v>
      </c>
      <c r="E169" s="91">
        <v>243.8811</v>
      </c>
      <c r="F169" s="91">
        <v>244.0015</v>
      </c>
      <c r="G169" s="91">
        <v>243.881</v>
      </c>
      <c r="H169" s="91">
        <v>224.2142</v>
      </c>
      <c r="I169" s="91">
        <v>220.0782</v>
      </c>
      <c r="J169" s="91">
        <v>194.7933</v>
      </c>
      <c r="K169" s="91">
        <v>194.864</v>
      </c>
      <c r="L169" s="91">
        <v>29.736</v>
      </c>
    </row>
    <row r="170" spans="1:12" ht="12.75">
      <c r="A170" s="91" t="s">
        <v>476</v>
      </c>
      <c r="B170" s="92">
        <f t="shared" si="4"/>
        <v>85.4999999999992</v>
      </c>
      <c r="C170" s="96">
        <v>25.9</v>
      </c>
      <c r="D170" s="91">
        <v>246.4</v>
      </c>
      <c r="E170" s="91">
        <v>238.8091</v>
      </c>
      <c r="F170" s="91">
        <v>237.2365</v>
      </c>
      <c r="G170" s="91">
        <v>238.809</v>
      </c>
      <c r="H170" s="91">
        <v>198.5898</v>
      </c>
      <c r="I170" s="91">
        <v>197.0752</v>
      </c>
      <c r="J170" s="91">
        <v>175.8151</v>
      </c>
      <c r="K170" s="91">
        <v>175.883</v>
      </c>
      <c r="L170" s="91">
        <v>26.605</v>
      </c>
    </row>
    <row r="171" spans="1:12" ht="12.75">
      <c r="A171" s="91" t="s">
        <v>477</v>
      </c>
      <c r="B171" s="92">
        <f t="shared" si="4"/>
        <v>85.58333333333253</v>
      </c>
      <c r="C171" s="96">
        <v>22.5</v>
      </c>
      <c r="D171" s="91">
        <v>240.8</v>
      </c>
      <c r="E171" s="91">
        <v>228.4296</v>
      </c>
      <c r="F171" s="91">
        <v>225.0981</v>
      </c>
      <c r="G171" s="91">
        <v>228.43</v>
      </c>
      <c r="H171" s="91">
        <v>162.732</v>
      </c>
      <c r="I171" s="91">
        <v>157.3727</v>
      </c>
      <c r="J171" s="91">
        <v>152.4085</v>
      </c>
      <c r="K171" s="91">
        <v>157.386</v>
      </c>
      <c r="L171" s="91">
        <v>22.111</v>
      </c>
    </row>
    <row r="172" spans="1:12" ht="12.75">
      <c r="A172" s="91" t="s">
        <v>478</v>
      </c>
      <c r="B172" s="92">
        <f t="shared" si="4"/>
        <v>85.66666666666586</v>
      </c>
      <c r="C172" s="96">
        <v>17.6</v>
      </c>
      <c r="D172" s="91">
        <v>211.5</v>
      </c>
      <c r="E172" s="91">
        <v>206.4837</v>
      </c>
      <c r="F172" s="91">
        <v>207.7732</v>
      </c>
      <c r="G172" s="91">
        <v>206.484</v>
      </c>
      <c r="H172" s="91">
        <v>121.2343</v>
      </c>
      <c r="I172" s="91">
        <v>125.1369</v>
      </c>
      <c r="J172" s="91">
        <v>128.3617</v>
      </c>
      <c r="K172" s="91">
        <v>125.124</v>
      </c>
      <c r="L172" s="91">
        <v>17.314</v>
      </c>
    </row>
    <row r="173" spans="1:12" ht="12.75">
      <c r="A173" s="91" t="s">
        <v>479</v>
      </c>
      <c r="B173" s="92">
        <f t="shared" si="4"/>
        <v>85.74999999999919</v>
      </c>
      <c r="C173" s="97">
        <v>13.9</v>
      </c>
      <c r="D173" s="91">
        <v>205.5</v>
      </c>
      <c r="E173" s="91">
        <v>204.9406</v>
      </c>
      <c r="F173" s="91">
        <v>187.691</v>
      </c>
      <c r="G173" s="91">
        <v>187.691</v>
      </c>
      <c r="H173" s="91">
        <v>94.6775</v>
      </c>
      <c r="I173" s="91">
        <v>97.9113</v>
      </c>
      <c r="J173" s="91">
        <v>107.1963</v>
      </c>
      <c r="K173" s="91">
        <v>97.783</v>
      </c>
      <c r="L173" s="91">
        <v>13.782</v>
      </c>
    </row>
    <row r="174" spans="1:12" ht="12.75">
      <c r="A174" s="91" t="s">
        <v>480</v>
      </c>
      <c r="B174" s="92">
        <f t="shared" si="4"/>
        <v>85.83333333333252</v>
      </c>
      <c r="C174" s="97">
        <v>12.5</v>
      </c>
      <c r="D174" s="91">
        <v>165.2</v>
      </c>
      <c r="E174" s="91">
        <v>165.3929</v>
      </c>
      <c r="F174" s="91">
        <v>168.5986</v>
      </c>
      <c r="G174" s="91">
        <v>165.393</v>
      </c>
      <c r="H174" s="91">
        <v>84.8626</v>
      </c>
      <c r="I174" s="91">
        <v>88.2287</v>
      </c>
      <c r="J174" s="91">
        <v>91.9</v>
      </c>
      <c r="K174" s="91">
        <v>88.218</v>
      </c>
      <c r="L174" s="91">
        <v>12.347</v>
      </c>
    </row>
    <row r="175" spans="1:12" ht="12.75">
      <c r="A175" s="91" t="s">
        <v>481</v>
      </c>
      <c r="B175" s="92">
        <f t="shared" si="4"/>
        <v>85.91666666666585</v>
      </c>
      <c r="C175" s="97">
        <v>14.2</v>
      </c>
      <c r="D175" s="91">
        <v>137.6</v>
      </c>
      <c r="E175" s="91">
        <v>140.2632</v>
      </c>
      <c r="F175" s="91">
        <v>153.4165</v>
      </c>
      <c r="G175" s="91">
        <v>153.417</v>
      </c>
      <c r="H175" s="91">
        <v>94.0623</v>
      </c>
      <c r="I175" s="91">
        <v>96.4822</v>
      </c>
      <c r="J175" s="91">
        <v>83.2505</v>
      </c>
      <c r="K175" s="91">
        <v>83.258</v>
      </c>
      <c r="L175" s="91">
        <v>14.099</v>
      </c>
    </row>
    <row r="176" spans="1:12" ht="12.75">
      <c r="A176" s="91" t="s">
        <v>482</v>
      </c>
      <c r="B176" s="92">
        <f t="shared" si="4"/>
        <v>85.99999999999918</v>
      </c>
      <c r="C176" s="97">
        <v>11.9</v>
      </c>
      <c r="D176" s="91">
        <v>137.6</v>
      </c>
      <c r="E176" s="91">
        <v>142.22</v>
      </c>
      <c r="F176" s="91">
        <v>143.2257</v>
      </c>
      <c r="G176" s="91">
        <v>142.22</v>
      </c>
      <c r="H176" s="91">
        <v>79.1564</v>
      </c>
      <c r="I176" s="91">
        <v>80.8766</v>
      </c>
      <c r="J176" s="91">
        <v>79.918</v>
      </c>
      <c r="K176" s="91">
        <v>80.856</v>
      </c>
      <c r="L176" s="91">
        <v>11.882</v>
      </c>
    </row>
    <row r="177" spans="1:12" ht="12.75">
      <c r="A177" s="91" t="s">
        <v>483</v>
      </c>
      <c r="B177" s="92">
        <f t="shared" si="4"/>
        <v>86.0833333333325</v>
      </c>
      <c r="C177" s="97">
        <v>9.5</v>
      </c>
      <c r="D177" s="91">
        <v>117.1</v>
      </c>
      <c r="E177" s="91">
        <v>121.0549</v>
      </c>
      <c r="F177" s="91">
        <v>137.692</v>
      </c>
      <c r="G177" s="91">
        <v>137.692</v>
      </c>
      <c r="H177" s="91">
        <v>61.0027</v>
      </c>
      <c r="I177" s="91">
        <v>60.9992</v>
      </c>
      <c r="J177" s="91">
        <v>78.834</v>
      </c>
      <c r="K177" s="91">
        <v>78.813</v>
      </c>
      <c r="L177" s="91">
        <v>9.576</v>
      </c>
    </row>
    <row r="178" spans="1:12" ht="12.75">
      <c r="A178" s="91" t="s">
        <v>484</v>
      </c>
      <c r="B178" s="92">
        <f t="shared" si="4"/>
        <v>86.16666666666583</v>
      </c>
      <c r="C178" s="97">
        <v>13.7</v>
      </c>
      <c r="D178" s="91">
        <v>132.8</v>
      </c>
      <c r="E178" s="91">
        <v>136.1397</v>
      </c>
      <c r="F178" s="91">
        <v>135.4312</v>
      </c>
      <c r="G178" s="91">
        <v>136.14</v>
      </c>
      <c r="H178" s="91">
        <v>80.948</v>
      </c>
      <c r="I178" s="91">
        <v>79.6547</v>
      </c>
      <c r="J178" s="91">
        <v>78.852</v>
      </c>
      <c r="K178" s="91">
        <v>79.754</v>
      </c>
      <c r="L178" s="91">
        <v>13.514</v>
      </c>
    </row>
    <row r="179" spans="1:12" ht="12.75">
      <c r="A179" s="91" t="s">
        <v>485</v>
      </c>
      <c r="B179" s="92">
        <f t="shared" si="4"/>
        <v>86.24999999999916</v>
      </c>
      <c r="C179" s="97">
        <v>14.2</v>
      </c>
      <c r="D179" s="91">
        <v>143.8</v>
      </c>
      <c r="E179" s="91">
        <v>146.7348</v>
      </c>
      <c r="F179" s="91">
        <v>134.9545</v>
      </c>
      <c r="G179" s="91">
        <v>134.955</v>
      </c>
      <c r="H179" s="91">
        <v>84.5975</v>
      </c>
      <c r="I179" s="91">
        <v>81.9946</v>
      </c>
      <c r="J179" s="91">
        <v>79.9008</v>
      </c>
      <c r="K179" s="91">
        <v>82.002</v>
      </c>
      <c r="L179" s="91">
        <v>14.209</v>
      </c>
    </row>
    <row r="180" spans="1:12" ht="12.75">
      <c r="A180" s="91" t="s">
        <v>486</v>
      </c>
      <c r="B180" s="92">
        <f t="shared" si="4"/>
        <v>86.33333333333249</v>
      </c>
      <c r="C180" s="97">
        <v>13.8</v>
      </c>
      <c r="D180" s="91">
        <v>138.3</v>
      </c>
      <c r="E180" s="91">
        <v>137.6819</v>
      </c>
      <c r="F180" s="91">
        <v>136.3484</v>
      </c>
      <c r="G180" s="91">
        <v>137.682</v>
      </c>
      <c r="H180" s="91">
        <v>82.3528</v>
      </c>
      <c r="I180" s="91">
        <v>78.9815</v>
      </c>
      <c r="J180" s="91">
        <v>82.9825</v>
      </c>
      <c r="K180" s="91">
        <v>79.037</v>
      </c>
      <c r="L180" s="91">
        <v>13.92</v>
      </c>
    </row>
    <row r="181" spans="1:12" ht="12.75">
      <c r="A181" s="91" t="s">
        <v>487</v>
      </c>
      <c r="B181" s="92">
        <f t="shared" si="4"/>
        <v>86.41666666666582</v>
      </c>
      <c r="C181" s="97">
        <v>14.6</v>
      </c>
      <c r="D181" s="91">
        <v>138.2</v>
      </c>
      <c r="E181" s="91">
        <v>136.7628</v>
      </c>
      <c r="F181" s="91">
        <v>139.8705</v>
      </c>
      <c r="G181" s="91">
        <v>136.763</v>
      </c>
      <c r="H181" s="91">
        <v>89.4908</v>
      </c>
      <c r="I181" s="91">
        <v>88.0794</v>
      </c>
      <c r="J181" s="91">
        <v>87.5837</v>
      </c>
      <c r="K181" s="91">
        <v>88.114</v>
      </c>
      <c r="L181" s="91">
        <v>14.75</v>
      </c>
    </row>
    <row r="182" spans="1:12" ht="12.75">
      <c r="A182" s="91" t="s">
        <v>488</v>
      </c>
      <c r="B182" s="92">
        <f t="shared" si="4"/>
        <v>86.49999999999915</v>
      </c>
      <c r="C182" s="97">
        <v>15.9</v>
      </c>
      <c r="D182" s="91">
        <v>140.4</v>
      </c>
      <c r="E182" s="91">
        <v>135.8621</v>
      </c>
      <c r="F182" s="91">
        <v>145.7793</v>
      </c>
      <c r="G182" s="91">
        <v>135.862</v>
      </c>
      <c r="H182" s="91">
        <v>94.0933</v>
      </c>
      <c r="I182" s="91">
        <v>93.8343</v>
      </c>
      <c r="J182" s="91">
        <v>92.8183</v>
      </c>
      <c r="K182" s="91">
        <v>93.816</v>
      </c>
      <c r="L182" s="91">
        <v>15.72</v>
      </c>
    </row>
    <row r="183" spans="1:12" ht="12.75">
      <c r="A183" s="91" t="s">
        <v>489</v>
      </c>
      <c r="B183" s="92">
        <f t="shared" si="4"/>
        <v>86.58333333333248</v>
      </c>
      <c r="C183" s="97">
        <v>18.4</v>
      </c>
      <c r="D183" s="91">
        <v>163.3</v>
      </c>
      <c r="E183" s="91">
        <v>154.1595</v>
      </c>
      <c r="F183" s="91">
        <v>152.7605</v>
      </c>
      <c r="G183" s="91">
        <v>154.16</v>
      </c>
      <c r="H183" s="91">
        <v>102.8043</v>
      </c>
      <c r="I183" s="91">
        <v>98.9816</v>
      </c>
      <c r="J183" s="91">
        <v>97.3798</v>
      </c>
      <c r="K183" s="91">
        <v>98.973</v>
      </c>
      <c r="L183" s="91">
        <v>18.43</v>
      </c>
    </row>
    <row r="184" spans="1:12" ht="12.75">
      <c r="A184" s="91" t="s">
        <v>490</v>
      </c>
      <c r="B184" s="92">
        <f t="shared" si="4"/>
        <v>86.6666666666658</v>
      </c>
      <c r="C184" s="97">
        <v>17.3</v>
      </c>
      <c r="D184" s="91">
        <v>164.1</v>
      </c>
      <c r="E184" s="91">
        <v>160.1458</v>
      </c>
      <c r="F184" s="91">
        <v>158.9744</v>
      </c>
      <c r="G184" s="91">
        <v>160.146</v>
      </c>
      <c r="H184" s="91">
        <v>95.7449</v>
      </c>
      <c r="I184" s="91">
        <v>98.7788</v>
      </c>
      <c r="J184" s="91">
        <v>99.9813</v>
      </c>
      <c r="K184" s="91">
        <v>98.751</v>
      </c>
      <c r="L184" s="91">
        <v>17.3</v>
      </c>
    </row>
    <row r="185" spans="1:12" ht="12.75">
      <c r="A185" s="91" t="s">
        <v>491</v>
      </c>
      <c r="B185" s="92">
        <f t="shared" si="4"/>
        <v>86.74999999999913</v>
      </c>
      <c r="C185" s="97">
        <v>17.9</v>
      </c>
      <c r="D185" s="91">
        <v>164.1</v>
      </c>
      <c r="E185" s="91">
        <v>164.1543</v>
      </c>
      <c r="F185" s="91">
        <v>163.4362</v>
      </c>
      <c r="G185" s="91">
        <v>164.154</v>
      </c>
      <c r="H185" s="91">
        <v>98.3326</v>
      </c>
      <c r="I185" s="91">
        <v>101.837</v>
      </c>
      <c r="J185" s="91">
        <v>100.7076</v>
      </c>
      <c r="K185" s="91">
        <v>101.691</v>
      </c>
      <c r="L185" s="91">
        <v>17.84</v>
      </c>
    </row>
    <row r="186" spans="1:12" ht="12.75">
      <c r="A186" s="91" t="s">
        <v>492</v>
      </c>
      <c r="B186" s="92">
        <f t="shared" si="4"/>
        <v>86.83333333333246</v>
      </c>
      <c r="C186" s="97">
        <v>18.1</v>
      </c>
      <c r="D186" s="91">
        <v>164.3</v>
      </c>
      <c r="E186" s="91">
        <v>164.1781</v>
      </c>
      <c r="F186" s="91">
        <v>166.3322</v>
      </c>
      <c r="G186" s="91">
        <v>164.178</v>
      </c>
      <c r="H186" s="91">
        <v>97.825</v>
      </c>
      <c r="I186" s="91">
        <v>101.0154</v>
      </c>
      <c r="J186" s="91">
        <v>101.6163</v>
      </c>
      <c r="K186" s="91">
        <v>100.971</v>
      </c>
      <c r="L186" s="91">
        <v>18.25</v>
      </c>
    </row>
    <row r="187" spans="1:12" ht="12.75">
      <c r="A187" s="91" t="s">
        <v>493</v>
      </c>
      <c r="B187" s="92">
        <f t="shared" si="4"/>
        <v>86.91666666666579</v>
      </c>
      <c r="C187" s="97">
        <v>18.8</v>
      </c>
      <c r="D187" s="91">
        <v>164.4</v>
      </c>
      <c r="E187" s="91">
        <v>168.6656</v>
      </c>
      <c r="F187" s="91">
        <v>168.4036</v>
      </c>
      <c r="G187" s="91">
        <v>168.666</v>
      </c>
      <c r="H187" s="91">
        <v>98.4899</v>
      </c>
      <c r="I187" s="91">
        <v>101.2223</v>
      </c>
      <c r="J187" s="91">
        <v>103.392</v>
      </c>
      <c r="K187" s="91">
        <v>101.188</v>
      </c>
      <c r="L187" s="91">
        <v>18.745</v>
      </c>
    </row>
    <row r="188" spans="1:12" ht="12.75">
      <c r="A188" s="91" t="s">
        <v>494</v>
      </c>
      <c r="B188" s="92">
        <f t="shared" si="4"/>
        <v>86.99999999999912</v>
      </c>
      <c r="C188" s="97">
        <v>18.9</v>
      </c>
      <c r="D188" s="91">
        <v>164.2</v>
      </c>
      <c r="E188" s="91">
        <v>170.7434</v>
      </c>
      <c r="F188" s="91">
        <v>169.7901</v>
      </c>
      <c r="G188" s="91">
        <v>170.744</v>
      </c>
      <c r="H188" s="91">
        <v>101.8135</v>
      </c>
      <c r="I188" s="91">
        <v>104.6367</v>
      </c>
      <c r="J188" s="91">
        <v>104.9571</v>
      </c>
      <c r="K188" s="91">
        <v>104.593</v>
      </c>
      <c r="L188" s="91">
        <v>18.833</v>
      </c>
    </row>
    <row r="189" spans="1:12" ht="12.75">
      <c r="A189" s="91" t="s">
        <v>495</v>
      </c>
      <c r="B189" s="92">
        <f t="shared" si="4"/>
        <v>87.08333333333245</v>
      </c>
      <c r="C189" s="97">
        <v>19.8</v>
      </c>
      <c r="D189" s="91">
        <v>164.1</v>
      </c>
      <c r="E189" s="91">
        <v>170.1709</v>
      </c>
      <c r="F189" s="91">
        <v>169.8952</v>
      </c>
      <c r="G189" s="91">
        <v>170.171</v>
      </c>
      <c r="H189" s="91">
        <v>108.7646</v>
      </c>
      <c r="I189" s="91">
        <v>109.0718</v>
      </c>
      <c r="J189" s="91">
        <v>105.1648</v>
      </c>
      <c r="K189" s="91">
        <v>109.065</v>
      </c>
      <c r="L189" s="91">
        <v>19.804</v>
      </c>
    </row>
    <row r="190" spans="1:12" ht="12.75">
      <c r="A190" s="91" t="s">
        <v>496</v>
      </c>
      <c r="B190" s="92">
        <f t="shared" si="4"/>
        <v>87.16666666666578</v>
      </c>
      <c r="C190" s="97">
        <v>19</v>
      </c>
      <c r="D190" s="91">
        <v>164.2</v>
      </c>
      <c r="E190" s="91">
        <v>167.8487</v>
      </c>
      <c r="F190" s="91">
        <v>168.7315</v>
      </c>
      <c r="G190" s="91">
        <v>167.849</v>
      </c>
      <c r="H190" s="91">
        <v>104.7086</v>
      </c>
      <c r="I190" s="91">
        <v>102.7873</v>
      </c>
      <c r="J190" s="91">
        <v>103.2155</v>
      </c>
      <c r="K190" s="91">
        <v>102.971</v>
      </c>
      <c r="L190" s="91">
        <v>19.02</v>
      </c>
    </row>
    <row r="191" spans="1:12" ht="12.75">
      <c r="A191" s="91" t="s">
        <v>497</v>
      </c>
      <c r="B191" s="92">
        <f t="shared" si="4"/>
        <v>87.2499999999991</v>
      </c>
      <c r="C191" s="97">
        <v>18.4</v>
      </c>
      <c r="D191" s="91">
        <v>164.5</v>
      </c>
      <c r="E191" s="91">
        <v>167.4235</v>
      </c>
      <c r="F191" s="91">
        <v>166.7138</v>
      </c>
      <c r="G191" s="91">
        <v>167.424</v>
      </c>
      <c r="H191" s="91">
        <v>98.8299</v>
      </c>
      <c r="I191" s="91">
        <v>96.2109</v>
      </c>
      <c r="J191" s="91">
        <v>98.9264</v>
      </c>
      <c r="K191" s="91">
        <v>96.193</v>
      </c>
      <c r="L191" s="91">
        <v>18.36</v>
      </c>
    </row>
    <row r="192" spans="1:12" ht="12.75">
      <c r="A192" s="91" t="s">
        <v>498</v>
      </c>
      <c r="B192" s="92">
        <f t="shared" si="4"/>
        <v>87.33333333333243</v>
      </c>
      <c r="C192" s="97">
        <v>18.8</v>
      </c>
      <c r="D192" s="91">
        <v>164.8</v>
      </c>
      <c r="E192" s="91">
        <v>162.293</v>
      </c>
      <c r="F192" s="91">
        <v>163.8414</v>
      </c>
      <c r="G192" s="91">
        <v>162.293</v>
      </c>
      <c r="H192" s="91">
        <v>101.1253</v>
      </c>
      <c r="I192" s="91">
        <v>96.1862</v>
      </c>
      <c r="J192" s="91">
        <v>93.1332</v>
      </c>
      <c r="K192" s="91">
        <v>96.402</v>
      </c>
      <c r="L192" s="91">
        <v>18.85</v>
      </c>
    </row>
    <row r="193" spans="1:12" ht="12.75">
      <c r="A193" s="91" t="s">
        <v>499</v>
      </c>
      <c r="B193" s="92">
        <f t="shared" si="4"/>
        <v>87.41666666666576</v>
      </c>
      <c r="C193" s="97">
        <v>17.8</v>
      </c>
      <c r="D193" s="91">
        <v>165.5</v>
      </c>
      <c r="E193" s="91">
        <v>162.5584</v>
      </c>
      <c r="F193" s="91">
        <v>160.1641</v>
      </c>
      <c r="G193" s="91">
        <v>162.558</v>
      </c>
      <c r="H193" s="91">
        <v>88.8273</v>
      </c>
      <c r="I193" s="91">
        <v>86.7898</v>
      </c>
      <c r="J193" s="91">
        <v>87.771</v>
      </c>
      <c r="K193" s="91">
        <v>86.811</v>
      </c>
      <c r="L193" s="91">
        <v>17.89</v>
      </c>
    </row>
    <row r="194" spans="1:12" ht="12.75">
      <c r="A194" s="91" t="s">
        <v>500</v>
      </c>
      <c r="B194" s="92">
        <f t="shared" si="4"/>
        <v>87.49999999999909</v>
      </c>
      <c r="C194" s="97">
        <v>17.1</v>
      </c>
      <c r="D194" s="91">
        <v>161.2</v>
      </c>
      <c r="E194" s="91">
        <v>155.7082</v>
      </c>
      <c r="F194" s="91">
        <v>155.2645</v>
      </c>
      <c r="G194" s="91">
        <v>155.708</v>
      </c>
      <c r="H194" s="91">
        <v>82.9425</v>
      </c>
      <c r="I194" s="91">
        <v>82.7076</v>
      </c>
      <c r="J194" s="91">
        <v>83.3237</v>
      </c>
      <c r="K194" s="91">
        <v>82.654</v>
      </c>
      <c r="L194" s="91">
        <v>17.32</v>
      </c>
    </row>
    <row r="195" spans="1:12" ht="12.75">
      <c r="A195" s="91" t="s">
        <v>501</v>
      </c>
      <c r="B195" s="92">
        <f t="shared" si="4"/>
        <v>87.58333333333242</v>
      </c>
      <c r="C195" s="97">
        <v>16.9</v>
      </c>
      <c r="D195" s="91">
        <v>157.4</v>
      </c>
      <c r="E195" s="91">
        <v>148.7501</v>
      </c>
      <c r="F195" s="91">
        <v>150.5944</v>
      </c>
      <c r="G195" s="91">
        <v>148.75</v>
      </c>
      <c r="H195" s="91">
        <v>81.3698</v>
      </c>
      <c r="I195" s="91">
        <v>78.8571</v>
      </c>
      <c r="J195" s="91">
        <v>80.2284</v>
      </c>
      <c r="K195" s="91">
        <v>78.812</v>
      </c>
      <c r="L195" s="91">
        <v>16.8</v>
      </c>
    </row>
    <row r="196" spans="1:12" ht="12.75">
      <c r="A196" s="91" t="s">
        <v>502</v>
      </c>
      <c r="B196" s="92">
        <f aca="true" t="shared" si="5" ref="B196:B259">B195+1/12</f>
        <v>87.66666666666575</v>
      </c>
      <c r="C196" s="97">
        <v>15.8</v>
      </c>
      <c r="D196" s="91">
        <v>152.7</v>
      </c>
      <c r="E196" s="91">
        <v>149.6108</v>
      </c>
      <c r="F196" s="91">
        <v>148.2766</v>
      </c>
      <c r="G196" s="91">
        <v>149.611</v>
      </c>
      <c r="H196" s="91">
        <v>79.6948</v>
      </c>
      <c r="I196" s="91">
        <v>82.2923</v>
      </c>
      <c r="J196" s="91">
        <v>79.5106</v>
      </c>
      <c r="K196" s="91">
        <v>82.256</v>
      </c>
      <c r="L196" s="91">
        <v>15.88</v>
      </c>
    </row>
    <row r="197" spans="1:12" ht="12.75">
      <c r="A197" s="91" t="s">
        <v>503</v>
      </c>
      <c r="B197" s="92">
        <f t="shared" si="5"/>
        <v>87.74999999999908</v>
      </c>
      <c r="C197" s="97">
        <v>14.8</v>
      </c>
      <c r="D197" s="91">
        <v>141.9</v>
      </c>
      <c r="E197" s="91">
        <v>142.9142</v>
      </c>
      <c r="F197" s="91">
        <v>149.1195</v>
      </c>
      <c r="G197" s="91">
        <v>142.914</v>
      </c>
      <c r="H197" s="91">
        <v>73.9476</v>
      </c>
      <c r="I197" s="91">
        <v>76.6982</v>
      </c>
      <c r="J197" s="91">
        <v>81.0811</v>
      </c>
      <c r="K197" s="91">
        <v>76.565</v>
      </c>
      <c r="L197" s="91">
        <v>14.75</v>
      </c>
    </row>
    <row r="198" spans="1:12" ht="12.75">
      <c r="A198" s="91" t="s">
        <v>504</v>
      </c>
      <c r="B198" s="92">
        <f t="shared" si="5"/>
        <v>87.8333333333324</v>
      </c>
      <c r="C198" s="97">
        <v>16.6</v>
      </c>
      <c r="D198" s="91">
        <v>155.6</v>
      </c>
      <c r="E198" s="91">
        <v>156.3278</v>
      </c>
      <c r="F198" s="91">
        <v>151.3793</v>
      </c>
      <c r="G198" s="91">
        <v>156.328</v>
      </c>
      <c r="H198" s="91">
        <v>83.0989</v>
      </c>
      <c r="I198" s="91">
        <v>85.1969</v>
      </c>
      <c r="J198" s="91">
        <v>83.1381</v>
      </c>
      <c r="K198" s="91">
        <v>85.106</v>
      </c>
      <c r="L198" s="91">
        <v>16.67</v>
      </c>
    </row>
    <row r="199" spans="1:12" ht="12.75">
      <c r="A199" s="91" t="s">
        <v>505</v>
      </c>
      <c r="B199" s="92">
        <f t="shared" si="5"/>
        <v>87.91666666666573</v>
      </c>
      <c r="C199" s="97">
        <v>16.4</v>
      </c>
      <c r="D199" s="91">
        <v>148.8</v>
      </c>
      <c r="E199" s="91">
        <v>154.2344</v>
      </c>
      <c r="F199" s="91">
        <v>152.2002</v>
      </c>
      <c r="G199" s="91">
        <v>154.235</v>
      </c>
      <c r="H199" s="91">
        <v>83.5396</v>
      </c>
      <c r="I199" s="91">
        <v>86.4882</v>
      </c>
      <c r="J199" s="91">
        <v>84.9979</v>
      </c>
      <c r="K199" s="91">
        <v>86.45</v>
      </c>
      <c r="L199" s="91">
        <v>16.435</v>
      </c>
    </row>
    <row r="200" spans="1:12" ht="12.75">
      <c r="A200" s="91" t="s">
        <v>506</v>
      </c>
      <c r="B200" s="92">
        <f t="shared" si="5"/>
        <v>87.99999999999906</v>
      </c>
      <c r="C200" s="97">
        <v>15.6</v>
      </c>
      <c r="D200" s="91">
        <v>143.3</v>
      </c>
      <c r="E200" s="91">
        <v>150.3666</v>
      </c>
      <c r="F200" s="91">
        <v>149.4017</v>
      </c>
      <c r="G200" s="91">
        <v>150.367</v>
      </c>
      <c r="H200" s="91">
        <v>81.9483</v>
      </c>
      <c r="I200" s="91">
        <v>84.9589</v>
      </c>
      <c r="J200" s="91">
        <v>85.3839</v>
      </c>
      <c r="K200" s="91">
        <v>84.944</v>
      </c>
      <c r="L200" s="91">
        <v>15.578</v>
      </c>
    </row>
    <row r="201" spans="1:12" ht="12.75">
      <c r="A201" s="91" t="s">
        <v>507</v>
      </c>
      <c r="B201" s="92">
        <f t="shared" si="5"/>
        <v>88.08333333333239</v>
      </c>
      <c r="C201" s="97">
        <v>14.9</v>
      </c>
      <c r="D201" s="91">
        <v>136.4</v>
      </c>
      <c r="E201" s="91">
        <v>141.4652</v>
      </c>
      <c r="F201" s="91">
        <v>143.0801</v>
      </c>
      <c r="G201" s="91">
        <v>141.465</v>
      </c>
      <c r="H201" s="91">
        <v>82.2686</v>
      </c>
      <c r="I201" s="91">
        <v>82.6814</v>
      </c>
      <c r="J201" s="91">
        <v>83.6251</v>
      </c>
      <c r="K201" s="91">
        <v>82.715</v>
      </c>
      <c r="L201" s="91">
        <v>14.899</v>
      </c>
    </row>
    <row r="202" spans="1:12" ht="12.75">
      <c r="A202" s="91" t="s">
        <v>508</v>
      </c>
      <c r="B202" s="92">
        <f t="shared" si="5"/>
        <v>88.16666666666572</v>
      </c>
      <c r="C202" s="97">
        <v>15</v>
      </c>
      <c r="D202" s="91">
        <v>135.2</v>
      </c>
      <c r="E202" s="91">
        <v>137.5785</v>
      </c>
      <c r="F202" s="91">
        <v>135.3816</v>
      </c>
      <c r="G202" s="91">
        <v>137.579</v>
      </c>
      <c r="H202" s="91">
        <v>85.3818</v>
      </c>
      <c r="I202" s="91">
        <v>84.0021</v>
      </c>
      <c r="J202" s="91">
        <v>80.2302</v>
      </c>
      <c r="K202" s="91">
        <v>84.193</v>
      </c>
      <c r="L202" s="91">
        <v>14.954</v>
      </c>
    </row>
    <row r="203" spans="1:12" ht="12.75">
      <c r="A203" s="91" t="s">
        <v>509</v>
      </c>
      <c r="B203" s="92">
        <f t="shared" si="5"/>
        <v>88.24999999999905</v>
      </c>
      <c r="C203" s="97">
        <v>13.3</v>
      </c>
      <c r="D203" s="91">
        <v>125.7</v>
      </c>
      <c r="E203" s="91">
        <v>126.7756</v>
      </c>
      <c r="F203" s="91">
        <v>129.4403</v>
      </c>
      <c r="G203" s="91">
        <v>126.776</v>
      </c>
      <c r="H203" s="91">
        <v>76.0849</v>
      </c>
      <c r="I203" s="91">
        <v>74.2644</v>
      </c>
      <c r="J203" s="91">
        <v>76.9373</v>
      </c>
      <c r="K203" s="91">
        <v>74.257</v>
      </c>
      <c r="L203" s="91">
        <v>13.342</v>
      </c>
    </row>
    <row r="204" spans="1:12" ht="12.75">
      <c r="A204" s="91" t="s">
        <v>510</v>
      </c>
      <c r="B204" s="92">
        <f t="shared" si="5"/>
        <v>88.33333333333238</v>
      </c>
      <c r="C204" s="97">
        <v>12.5</v>
      </c>
      <c r="D204" s="91">
        <v>118.7</v>
      </c>
      <c r="E204" s="91">
        <v>114.9114</v>
      </c>
      <c r="F204" s="91">
        <v>126.9443</v>
      </c>
      <c r="G204" s="91">
        <v>126.944</v>
      </c>
      <c r="H204" s="91">
        <v>69.5426</v>
      </c>
      <c r="I204" s="91">
        <v>65.0637</v>
      </c>
      <c r="J204" s="91">
        <v>75.4435</v>
      </c>
      <c r="K204" s="91">
        <v>75.278</v>
      </c>
      <c r="L204" s="91">
        <v>12.417</v>
      </c>
    </row>
    <row r="205" spans="1:12" ht="12.75">
      <c r="A205" s="91" t="s">
        <v>511</v>
      </c>
      <c r="B205" s="92">
        <f t="shared" si="5"/>
        <v>88.4166666666657</v>
      </c>
      <c r="C205" s="97">
        <v>13</v>
      </c>
      <c r="D205" s="91">
        <v>120.9</v>
      </c>
      <c r="E205" s="91">
        <v>116.9261</v>
      </c>
      <c r="F205" s="91">
        <v>128.2288</v>
      </c>
      <c r="G205" s="91">
        <v>128.229</v>
      </c>
      <c r="H205" s="91">
        <v>68.8951</v>
      </c>
      <c r="I205" s="91">
        <v>66.4122</v>
      </c>
      <c r="J205" s="91">
        <v>76.9818</v>
      </c>
      <c r="K205" s="91">
        <v>76.864</v>
      </c>
      <c r="L205" s="91">
        <v>12.92</v>
      </c>
    </row>
    <row r="206" spans="1:12" ht="12.75">
      <c r="A206" s="91" t="s">
        <v>512</v>
      </c>
      <c r="B206" s="92">
        <f t="shared" si="5"/>
        <v>88.49999999999903</v>
      </c>
      <c r="C206" s="97">
        <v>15.2</v>
      </c>
      <c r="D206" s="91">
        <v>137.3</v>
      </c>
      <c r="E206" s="91">
        <v>132.5757</v>
      </c>
      <c r="F206" s="91">
        <v>133.1696</v>
      </c>
      <c r="G206" s="91">
        <v>132.576</v>
      </c>
      <c r="H206" s="91">
        <v>80.643</v>
      </c>
      <c r="I206" s="91">
        <v>80.3251</v>
      </c>
      <c r="J206" s="91">
        <v>82.1228</v>
      </c>
      <c r="K206" s="91">
        <v>80.168</v>
      </c>
      <c r="L206" s="91">
        <v>15.112</v>
      </c>
    </row>
    <row r="207" spans="1:12" ht="12.75">
      <c r="A207" s="91" t="s">
        <v>513</v>
      </c>
      <c r="B207" s="92">
        <f t="shared" si="5"/>
        <v>88.58333333333236</v>
      </c>
      <c r="C207" s="97">
        <v>17</v>
      </c>
      <c r="D207" s="91">
        <v>151.1</v>
      </c>
      <c r="E207" s="91">
        <v>143.7731</v>
      </c>
      <c r="F207" s="91">
        <v>141.8582</v>
      </c>
      <c r="G207" s="91">
        <v>143.773</v>
      </c>
      <c r="H207" s="91">
        <v>94.7175</v>
      </c>
      <c r="I207" s="91">
        <v>92.7753</v>
      </c>
      <c r="J207" s="91">
        <v>90.515</v>
      </c>
      <c r="K207" s="91">
        <v>92.755</v>
      </c>
      <c r="L207" s="91">
        <v>16.908</v>
      </c>
    </row>
    <row r="208" spans="1:12" ht="12.75">
      <c r="A208" s="91" t="s">
        <v>514</v>
      </c>
      <c r="B208" s="92">
        <f t="shared" si="5"/>
        <v>88.66666666666569</v>
      </c>
      <c r="C208" s="97">
        <v>16.7</v>
      </c>
      <c r="D208" s="91">
        <v>149.6</v>
      </c>
      <c r="E208" s="91">
        <v>147.2781</v>
      </c>
      <c r="F208" s="91">
        <v>152.6148</v>
      </c>
      <c r="G208" s="91">
        <v>147.278</v>
      </c>
      <c r="H208" s="91">
        <v>94.254</v>
      </c>
      <c r="I208" s="91">
        <v>97.0731</v>
      </c>
      <c r="J208" s="91">
        <v>100.5306</v>
      </c>
      <c r="K208" s="91">
        <v>97.013</v>
      </c>
      <c r="L208" s="91">
        <v>16.64</v>
      </c>
    </row>
    <row r="209" spans="1:12" ht="12.75">
      <c r="A209" s="91" t="s">
        <v>515</v>
      </c>
      <c r="B209" s="92">
        <f t="shared" si="5"/>
        <v>88.74999999999902</v>
      </c>
      <c r="C209" s="97">
        <v>18.7</v>
      </c>
      <c r="D209" s="91">
        <v>162.5</v>
      </c>
      <c r="E209" s="91">
        <v>165.4763</v>
      </c>
      <c r="F209" s="91">
        <v>162.9238</v>
      </c>
      <c r="G209" s="91">
        <v>165.476</v>
      </c>
      <c r="H209" s="91">
        <v>106.3112</v>
      </c>
      <c r="I209" s="91">
        <v>110.9591</v>
      </c>
      <c r="J209" s="91">
        <v>110.0438</v>
      </c>
      <c r="K209" s="91">
        <v>110.726</v>
      </c>
      <c r="L209" s="91">
        <v>18.47</v>
      </c>
    </row>
    <row r="210" spans="1:12" ht="12.75">
      <c r="A210" s="91" t="s">
        <v>516</v>
      </c>
      <c r="B210" s="92">
        <f t="shared" si="5"/>
        <v>88.83333333333235</v>
      </c>
      <c r="C210" s="97">
        <v>19.8</v>
      </c>
      <c r="D210" s="91">
        <v>172.4</v>
      </c>
      <c r="E210" s="91">
        <v>174.8961</v>
      </c>
      <c r="F210" s="91">
        <v>170.2756</v>
      </c>
      <c r="G210" s="91">
        <v>174.896</v>
      </c>
      <c r="H210" s="91">
        <v>116.4771</v>
      </c>
      <c r="I210" s="91">
        <v>119.0185</v>
      </c>
      <c r="J210" s="91">
        <v>115.9813</v>
      </c>
      <c r="K210" s="91">
        <v>118.817</v>
      </c>
      <c r="L210" s="91">
        <v>19.757</v>
      </c>
    </row>
    <row r="211" spans="1:12" ht="12.75">
      <c r="A211" s="91" t="s">
        <v>517</v>
      </c>
      <c r="B211" s="92">
        <f t="shared" si="5"/>
        <v>88.91666666666568</v>
      </c>
      <c r="C211" s="97">
        <v>18.4</v>
      </c>
      <c r="D211" s="91">
        <v>162.9</v>
      </c>
      <c r="E211" s="91">
        <v>170.8115</v>
      </c>
      <c r="F211" s="91">
        <v>172.4621</v>
      </c>
      <c r="G211" s="91">
        <v>170.812</v>
      </c>
      <c r="H211" s="91">
        <v>113.2733</v>
      </c>
      <c r="I211" s="91">
        <v>118.2036</v>
      </c>
      <c r="J211" s="91">
        <v>116.3075</v>
      </c>
      <c r="K211" s="91">
        <v>118.144</v>
      </c>
      <c r="L211" s="91">
        <v>18.23</v>
      </c>
    </row>
    <row r="212" spans="1:12" ht="12.75">
      <c r="A212" s="91" t="s">
        <v>518</v>
      </c>
      <c r="B212" s="92">
        <f t="shared" si="5"/>
        <v>88.999999999999</v>
      </c>
      <c r="C212" s="97">
        <v>17.5</v>
      </c>
      <c r="D212" s="91">
        <v>160.2</v>
      </c>
      <c r="E212" s="91">
        <v>169.7176</v>
      </c>
      <c r="F212" s="91">
        <v>169.8988</v>
      </c>
      <c r="G212" s="91">
        <v>169.718</v>
      </c>
      <c r="H212" s="91">
        <v>107.0765</v>
      </c>
      <c r="I212" s="91">
        <v>112.1665</v>
      </c>
      <c r="J212" s="91">
        <v>112.306</v>
      </c>
      <c r="K212" s="91">
        <v>112.176</v>
      </c>
      <c r="L212" s="91">
        <v>17.44</v>
      </c>
    </row>
    <row r="213" spans="1:12" ht="12.75">
      <c r="A213" s="91" t="s">
        <v>519</v>
      </c>
      <c r="B213" s="92">
        <f t="shared" si="5"/>
        <v>89.08333333333233</v>
      </c>
      <c r="C213" s="97">
        <v>17.8</v>
      </c>
      <c r="D213" s="91">
        <v>161.6</v>
      </c>
      <c r="E213" s="91">
        <v>167.6347</v>
      </c>
      <c r="F213" s="91">
        <v>165.2652</v>
      </c>
      <c r="G213" s="91">
        <v>167.635</v>
      </c>
      <c r="H213" s="91">
        <v>103.7224</v>
      </c>
      <c r="I213" s="91">
        <v>104.7485</v>
      </c>
      <c r="J213" s="91">
        <v>106.9299</v>
      </c>
      <c r="K213" s="91">
        <v>104.824</v>
      </c>
      <c r="L213" s="91">
        <v>17.708</v>
      </c>
    </row>
    <row r="214" spans="1:12" ht="12.75">
      <c r="A214" s="91" t="s">
        <v>520</v>
      </c>
      <c r="B214" s="92">
        <f t="shared" si="5"/>
        <v>89.16666666666566</v>
      </c>
      <c r="C214" s="97">
        <v>17.1</v>
      </c>
      <c r="D214" s="91">
        <v>154.8</v>
      </c>
      <c r="E214" s="91">
        <v>156.1415</v>
      </c>
      <c r="F214" s="91">
        <v>161.2874</v>
      </c>
      <c r="G214" s="91">
        <v>156.142</v>
      </c>
      <c r="H214" s="91">
        <v>101.8587</v>
      </c>
      <c r="I214" s="91">
        <v>100.2979</v>
      </c>
      <c r="J214" s="91">
        <v>103.1552</v>
      </c>
      <c r="K214" s="91">
        <v>100.557</v>
      </c>
      <c r="L214" s="91">
        <v>17.054</v>
      </c>
    </row>
    <row r="215" spans="1:12" ht="12.75">
      <c r="A215" s="91" t="s">
        <v>521</v>
      </c>
      <c r="B215" s="92">
        <f t="shared" si="5"/>
        <v>89.24999999999899</v>
      </c>
      <c r="C215" s="97">
        <v>17.8</v>
      </c>
      <c r="D215" s="91">
        <v>162</v>
      </c>
      <c r="E215" s="91">
        <v>161.6807</v>
      </c>
      <c r="F215" s="91">
        <v>158.9955</v>
      </c>
      <c r="G215" s="91">
        <v>161.681</v>
      </c>
      <c r="H215" s="91">
        <v>107.8557</v>
      </c>
      <c r="I215" s="91">
        <v>105.312</v>
      </c>
      <c r="J215" s="91">
        <v>101.9847</v>
      </c>
      <c r="K215" s="91">
        <v>105.26</v>
      </c>
      <c r="L215" s="91">
        <v>17.804</v>
      </c>
    </row>
    <row r="216" spans="1:12" ht="12.75">
      <c r="A216" s="91" t="s">
        <v>522</v>
      </c>
      <c r="B216" s="92">
        <f t="shared" si="5"/>
        <v>89.33333333333232</v>
      </c>
      <c r="C216" s="97">
        <v>19</v>
      </c>
      <c r="D216" s="91">
        <v>168.4</v>
      </c>
      <c r="E216" s="91">
        <v>159.9182</v>
      </c>
      <c r="F216" s="91">
        <v>159.2911</v>
      </c>
      <c r="G216" s="91">
        <v>159.918</v>
      </c>
      <c r="H216" s="91">
        <v>111.2065</v>
      </c>
      <c r="I216" s="91">
        <v>102.2715</v>
      </c>
      <c r="J216" s="91">
        <v>102.9508</v>
      </c>
      <c r="K216" s="91">
        <v>102.768</v>
      </c>
      <c r="L216" s="91">
        <v>19.004</v>
      </c>
    </row>
    <row r="217" spans="1:12" ht="12.75">
      <c r="A217" s="91" t="s">
        <v>523</v>
      </c>
      <c r="B217" s="92">
        <f t="shared" si="5"/>
        <v>89.41666666666565</v>
      </c>
      <c r="C217" s="97">
        <v>19.2</v>
      </c>
      <c r="D217" s="91">
        <v>166.8</v>
      </c>
      <c r="E217" s="91">
        <v>158.3535</v>
      </c>
      <c r="F217" s="91">
        <v>162.7526</v>
      </c>
      <c r="G217" s="91">
        <v>158.354</v>
      </c>
      <c r="H217" s="91">
        <v>108.2447</v>
      </c>
      <c r="I217" s="91">
        <v>102.4685</v>
      </c>
      <c r="J217" s="91">
        <v>104.9069</v>
      </c>
      <c r="K217" s="91">
        <v>102.343</v>
      </c>
      <c r="L217" s="91">
        <v>18.63</v>
      </c>
    </row>
    <row r="218" spans="1:12" ht="12.75">
      <c r="A218" s="91" t="s">
        <v>524</v>
      </c>
      <c r="B218" s="92">
        <f t="shared" si="5"/>
        <v>89.49999999999898</v>
      </c>
      <c r="C218" s="97">
        <v>19.9</v>
      </c>
      <c r="D218" s="91">
        <v>175.2</v>
      </c>
      <c r="E218" s="91">
        <v>169.0447</v>
      </c>
      <c r="F218" s="91">
        <v>168.2492</v>
      </c>
      <c r="G218" s="91">
        <v>169.045</v>
      </c>
      <c r="H218" s="91">
        <v>109.6105</v>
      </c>
      <c r="I218" s="91">
        <v>108.8029</v>
      </c>
      <c r="J218" s="91">
        <v>107.1918</v>
      </c>
      <c r="K218" s="91">
        <v>108.384</v>
      </c>
      <c r="L218" s="91">
        <v>19.47</v>
      </c>
    </row>
    <row r="219" spans="1:12" ht="12.75">
      <c r="A219" s="91" t="s">
        <v>525</v>
      </c>
      <c r="B219" s="92">
        <f t="shared" si="5"/>
        <v>89.5833333333323</v>
      </c>
      <c r="C219" s="97">
        <v>21.3</v>
      </c>
      <c r="D219" s="91">
        <v>181.9</v>
      </c>
      <c r="E219" s="91">
        <v>174.3613</v>
      </c>
      <c r="F219" s="91">
        <v>172.7319</v>
      </c>
      <c r="G219" s="91">
        <v>174.361</v>
      </c>
      <c r="H219" s="91">
        <v>109.9005</v>
      </c>
      <c r="I219" s="91">
        <v>108.708</v>
      </c>
      <c r="J219" s="91">
        <v>108.5049</v>
      </c>
      <c r="K219" s="91">
        <v>109.067</v>
      </c>
      <c r="L219" s="91">
        <v>20.208</v>
      </c>
    </row>
    <row r="220" spans="1:12" ht="12.75">
      <c r="A220" s="91" t="s">
        <v>526</v>
      </c>
      <c r="B220" s="92">
        <f t="shared" si="5"/>
        <v>89.66666666666563</v>
      </c>
      <c r="C220" s="97">
        <v>19.8</v>
      </c>
      <c r="D220" s="91">
        <v>178</v>
      </c>
      <c r="E220" s="91">
        <v>176.826</v>
      </c>
      <c r="F220" s="91">
        <v>173.4552</v>
      </c>
      <c r="G220" s="91">
        <v>176.826</v>
      </c>
      <c r="H220" s="91">
        <v>104.6354</v>
      </c>
      <c r="I220" s="91">
        <v>107.9454</v>
      </c>
      <c r="J220" s="91">
        <v>106.9658</v>
      </c>
      <c r="K220" s="91">
        <v>107.84</v>
      </c>
      <c r="L220" s="91">
        <v>19.594</v>
      </c>
    </row>
    <row r="221" spans="1:12" ht="12.75">
      <c r="A221" s="91" t="s">
        <v>527</v>
      </c>
      <c r="B221" s="92">
        <f t="shared" si="5"/>
        <v>89.74999999999896</v>
      </c>
      <c r="C221" s="97">
        <v>18.4</v>
      </c>
      <c r="D221" s="91">
        <v>168.8</v>
      </c>
      <c r="E221" s="91">
        <v>173.742</v>
      </c>
      <c r="F221" s="91">
        <v>170.252</v>
      </c>
      <c r="G221" s="91">
        <v>173.742</v>
      </c>
      <c r="H221" s="91">
        <v>101.3657</v>
      </c>
      <c r="I221" s="91">
        <v>106.2411</v>
      </c>
      <c r="J221" s="91">
        <v>102.3164</v>
      </c>
      <c r="K221" s="91">
        <v>105.939</v>
      </c>
      <c r="L221" s="91">
        <v>18.656</v>
      </c>
    </row>
    <row r="222" spans="1:12" ht="12.75">
      <c r="A222" s="91" t="s">
        <v>528</v>
      </c>
      <c r="B222" s="92">
        <f t="shared" si="5"/>
        <v>89.83333333333229</v>
      </c>
      <c r="C222" s="97">
        <v>16.5</v>
      </c>
      <c r="D222" s="91">
        <v>157.6</v>
      </c>
      <c r="E222" s="91">
        <v>161.7066</v>
      </c>
      <c r="F222" s="91">
        <v>167.2973</v>
      </c>
      <c r="G222" s="91">
        <v>161.707</v>
      </c>
      <c r="H222" s="91">
        <v>92.7543</v>
      </c>
      <c r="I222" s="91">
        <v>94.7656</v>
      </c>
      <c r="J222" s="91">
        <v>97.5389</v>
      </c>
      <c r="K222" s="91">
        <v>94.526</v>
      </c>
      <c r="L222" s="91">
        <v>17.307</v>
      </c>
    </row>
    <row r="223" spans="1:12" ht="12.75">
      <c r="A223" s="91" t="s">
        <v>529</v>
      </c>
      <c r="B223" s="92">
        <f t="shared" si="5"/>
        <v>89.91666666666562</v>
      </c>
      <c r="C223" s="97">
        <v>16.4</v>
      </c>
      <c r="D223" s="91">
        <v>156.9</v>
      </c>
      <c r="E223" s="91">
        <v>166.2226</v>
      </c>
      <c r="F223" s="91">
        <v>171.3763</v>
      </c>
      <c r="G223" s="91">
        <v>166.223</v>
      </c>
      <c r="H223" s="91">
        <v>87.8148</v>
      </c>
      <c r="I223" s="91">
        <v>92.4102</v>
      </c>
      <c r="J223" s="91">
        <v>96.2591</v>
      </c>
      <c r="K223" s="91">
        <v>92.339</v>
      </c>
      <c r="L223" s="91">
        <v>17.17</v>
      </c>
    </row>
    <row r="224" spans="1:12" ht="12.75">
      <c r="A224" s="91" t="s">
        <v>530</v>
      </c>
      <c r="B224" s="92">
        <f t="shared" si="5"/>
        <v>89.99999999999895</v>
      </c>
      <c r="C224" s="97">
        <v>15.1</v>
      </c>
      <c r="D224" s="91">
        <v>146</v>
      </c>
      <c r="E224" s="91">
        <v>156.0603</v>
      </c>
      <c r="F224" s="91">
        <v>185.3096</v>
      </c>
      <c r="G224" s="91">
        <v>185.31</v>
      </c>
      <c r="H224" s="91">
        <v>82.1336</v>
      </c>
      <c r="I224" s="91">
        <v>86.9201</v>
      </c>
      <c r="J224" s="91">
        <v>100.4515</v>
      </c>
      <c r="K224" s="91">
        <v>100.851</v>
      </c>
      <c r="L224" s="91">
        <v>15.973</v>
      </c>
    </row>
    <row r="225" spans="1:12" ht="12.75">
      <c r="A225" s="91" t="s">
        <v>531</v>
      </c>
      <c r="B225" s="92">
        <f t="shared" si="5"/>
        <v>90.08333333333228</v>
      </c>
      <c r="C225" s="97">
        <v>17.3</v>
      </c>
      <c r="D225" s="91">
        <v>160.3</v>
      </c>
      <c r="E225" s="91">
        <v>166.0649</v>
      </c>
      <c r="F225" s="91">
        <v>206.1744</v>
      </c>
      <c r="G225" s="91">
        <v>206.175</v>
      </c>
      <c r="H225" s="91">
        <v>88.9067</v>
      </c>
      <c r="I225" s="91">
        <v>90.3177</v>
      </c>
      <c r="J225" s="91">
        <v>109.7714</v>
      </c>
      <c r="K225" s="91">
        <v>110.199</v>
      </c>
      <c r="L225" s="91">
        <v>17.722</v>
      </c>
    </row>
    <row r="226" spans="1:12" ht="12.75">
      <c r="A226" s="91" t="s">
        <v>532</v>
      </c>
      <c r="B226" s="92">
        <f t="shared" si="5"/>
        <v>90.1666666666656</v>
      </c>
      <c r="C226" s="97">
        <v>27.2</v>
      </c>
      <c r="D226" s="91">
        <v>232.7</v>
      </c>
      <c r="E226" s="91">
        <v>233.6659</v>
      </c>
      <c r="F226" s="91">
        <v>227.3281</v>
      </c>
      <c r="G226" s="91">
        <v>233.666</v>
      </c>
      <c r="H226" s="91">
        <v>122.0728</v>
      </c>
      <c r="I226" s="91">
        <v>120.998</v>
      </c>
      <c r="J226" s="91">
        <v>121.4238</v>
      </c>
      <c r="K226" s="91">
        <v>121.364</v>
      </c>
      <c r="L226" s="91">
        <v>26.136</v>
      </c>
    </row>
    <row r="227" spans="1:12" ht="12.75">
      <c r="A227" s="91" t="s">
        <v>533</v>
      </c>
      <c r="B227" s="92">
        <f t="shared" si="5"/>
        <v>90.24999999999893</v>
      </c>
      <c r="C227" s="97">
        <v>38.9</v>
      </c>
      <c r="D227" s="91">
        <v>283.7</v>
      </c>
      <c r="E227" s="91">
        <v>280.3355</v>
      </c>
      <c r="F227" s="91">
        <v>242.2169</v>
      </c>
      <c r="G227" s="91">
        <v>242.217</v>
      </c>
      <c r="H227" s="91">
        <v>154.4552</v>
      </c>
      <c r="I227" s="91">
        <v>150.2839</v>
      </c>
      <c r="J227" s="91">
        <v>131.7741</v>
      </c>
      <c r="K227" s="91">
        <v>131.015</v>
      </c>
      <c r="L227" s="91">
        <v>33.262</v>
      </c>
    </row>
    <row r="228" spans="1:12" ht="12.75">
      <c r="A228" s="91" t="s">
        <v>534</v>
      </c>
      <c r="B228" s="92">
        <f t="shared" si="5"/>
        <v>90.33333333333226</v>
      </c>
      <c r="C228" s="97">
        <v>36</v>
      </c>
      <c r="D228" s="91">
        <v>299.8</v>
      </c>
      <c r="E228" s="91">
        <v>280.3992</v>
      </c>
      <c r="F228" s="91">
        <v>246.0364</v>
      </c>
      <c r="G228" s="91">
        <v>246.036</v>
      </c>
      <c r="H228" s="91">
        <v>163.8712</v>
      </c>
      <c r="I228" s="91">
        <v>148.3753</v>
      </c>
      <c r="J228" s="91">
        <v>136.7706</v>
      </c>
      <c r="K228" s="91">
        <v>135.535</v>
      </c>
      <c r="L228" s="91">
        <v>36.01</v>
      </c>
    </row>
    <row r="229" spans="1:12" ht="12.75">
      <c r="A229" s="91" t="s">
        <v>535</v>
      </c>
      <c r="B229" s="92">
        <f t="shared" si="5"/>
        <v>90.41666666666559</v>
      </c>
      <c r="C229" s="97">
        <v>33.2</v>
      </c>
      <c r="D229" s="91">
        <v>274</v>
      </c>
      <c r="E229" s="91">
        <v>256.4907</v>
      </c>
      <c r="F229" s="91">
        <v>238.099</v>
      </c>
      <c r="G229" s="91">
        <v>256.491</v>
      </c>
      <c r="H229" s="91">
        <v>148.3965</v>
      </c>
      <c r="I229" s="91">
        <v>138.4389</v>
      </c>
      <c r="J229" s="91">
        <v>134.3409</v>
      </c>
      <c r="K229" s="91">
        <v>138.197</v>
      </c>
      <c r="L229" s="91">
        <v>33.18</v>
      </c>
    </row>
    <row r="230" spans="1:12" ht="12.75">
      <c r="A230" s="91" t="s">
        <v>536</v>
      </c>
      <c r="B230" s="92">
        <f t="shared" si="5"/>
        <v>90.49999999999892</v>
      </c>
      <c r="C230" s="97">
        <v>28</v>
      </c>
      <c r="D230" s="91">
        <v>231.9</v>
      </c>
      <c r="E230" s="91">
        <v>223.867</v>
      </c>
      <c r="F230" s="91">
        <v>221.7769</v>
      </c>
      <c r="G230" s="91">
        <v>223.867</v>
      </c>
      <c r="H230" s="91">
        <v>129.534</v>
      </c>
      <c r="I230" s="91">
        <v>128.1759</v>
      </c>
      <c r="J230" s="91">
        <v>125.2735</v>
      </c>
      <c r="K230" s="91">
        <v>127.495</v>
      </c>
      <c r="L230" s="91">
        <v>28.41</v>
      </c>
    </row>
    <row r="231" spans="1:12" ht="12.75">
      <c r="A231" s="91" t="s">
        <v>537</v>
      </c>
      <c r="B231" s="92">
        <f t="shared" si="5"/>
        <v>90.58333333333225</v>
      </c>
      <c r="C231" s="97">
        <v>23.7</v>
      </c>
      <c r="D231" s="91">
        <v>203.1</v>
      </c>
      <c r="E231" s="91">
        <v>195.7723</v>
      </c>
      <c r="F231" s="91">
        <v>202.7687</v>
      </c>
      <c r="G231" s="91">
        <v>195.772</v>
      </c>
      <c r="H231" s="91">
        <v>107.3609</v>
      </c>
      <c r="I231" s="91">
        <v>106.7055</v>
      </c>
      <c r="J231" s="91">
        <v>113.7153</v>
      </c>
      <c r="K231" s="91">
        <v>107.096</v>
      </c>
      <c r="L231" s="91">
        <v>23.57</v>
      </c>
    </row>
    <row r="232" spans="1:12" ht="12.75">
      <c r="A232" s="91" t="s">
        <v>538</v>
      </c>
      <c r="B232" s="92">
        <f t="shared" si="5"/>
        <v>90.66666666666558</v>
      </c>
      <c r="C232" s="97">
        <v>19.4</v>
      </c>
      <c r="D232" s="91">
        <v>164.5</v>
      </c>
      <c r="E232" s="91">
        <v>164.476</v>
      </c>
      <c r="F232" s="91">
        <v>187.3027</v>
      </c>
      <c r="G232" s="91">
        <v>187.303</v>
      </c>
      <c r="H232" s="91">
        <v>89.1434</v>
      </c>
      <c r="I232" s="91">
        <v>92.2219</v>
      </c>
      <c r="J232" s="91">
        <v>104.7131</v>
      </c>
      <c r="K232" s="91">
        <v>104.552</v>
      </c>
      <c r="L232" s="91">
        <v>19.58</v>
      </c>
    </row>
    <row r="233" spans="1:12" ht="12.75">
      <c r="A233" s="91" t="s">
        <v>539</v>
      </c>
      <c r="B233" s="92">
        <f t="shared" si="5"/>
        <v>90.7499999999989</v>
      </c>
      <c r="C233" s="97">
        <v>19.1</v>
      </c>
      <c r="D233" s="91">
        <v>163.6</v>
      </c>
      <c r="E233" s="91">
        <v>169.2383</v>
      </c>
      <c r="F233" s="91">
        <v>179.2798</v>
      </c>
      <c r="G233" s="91">
        <v>169.238</v>
      </c>
      <c r="H233" s="91">
        <v>94.3834</v>
      </c>
      <c r="I233" s="91">
        <v>99.0965</v>
      </c>
      <c r="J233" s="91">
        <v>100.8962</v>
      </c>
      <c r="K233" s="91">
        <v>98.792</v>
      </c>
      <c r="L233" s="91">
        <v>18.99</v>
      </c>
    </row>
    <row r="234" spans="1:12" ht="12.75">
      <c r="A234" s="91" t="s">
        <v>540</v>
      </c>
      <c r="B234" s="92">
        <f t="shared" si="5"/>
        <v>90.83333333333223</v>
      </c>
      <c r="C234" s="97">
        <v>19.2</v>
      </c>
      <c r="D234" s="91">
        <v>169.1</v>
      </c>
      <c r="E234" s="91">
        <v>174.7831</v>
      </c>
      <c r="F234" s="91">
        <v>177.7498</v>
      </c>
      <c r="G234" s="91">
        <v>174.783</v>
      </c>
      <c r="H234" s="91">
        <v>99.8383</v>
      </c>
      <c r="I234" s="91">
        <v>102.2799</v>
      </c>
      <c r="J234" s="91">
        <v>101.774</v>
      </c>
      <c r="K234" s="91">
        <v>102.005</v>
      </c>
      <c r="L234" s="91">
        <v>19.31</v>
      </c>
    </row>
    <row r="235" spans="1:12" ht="12.75">
      <c r="A235" s="91" t="s">
        <v>541</v>
      </c>
      <c r="B235" s="92">
        <f t="shared" si="5"/>
        <v>90.91666666666556</v>
      </c>
      <c r="C235" s="97">
        <v>19.2</v>
      </c>
      <c r="D235" s="91">
        <v>173.1</v>
      </c>
      <c r="E235" s="91">
        <v>184.7177</v>
      </c>
      <c r="F235" s="91">
        <v>178.6646</v>
      </c>
      <c r="G235" s="91">
        <v>184.718</v>
      </c>
      <c r="H235" s="91">
        <v>99.9124</v>
      </c>
      <c r="I235" s="91">
        <v>105.6456</v>
      </c>
      <c r="J235" s="91">
        <v>104.5549</v>
      </c>
      <c r="K235" s="91">
        <v>105.573</v>
      </c>
      <c r="L235" s="91">
        <v>19.15</v>
      </c>
    </row>
    <row r="236" spans="1:12" ht="12.75">
      <c r="A236" s="91" t="s">
        <v>542</v>
      </c>
      <c r="B236" s="92">
        <f t="shared" si="5"/>
        <v>90.99999999999889</v>
      </c>
      <c r="C236" s="97">
        <v>18.2</v>
      </c>
      <c r="D236" s="91">
        <v>165.2</v>
      </c>
      <c r="E236" s="91">
        <v>177.5359</v>
      </c>
      <c r="F236" s="91">
        <v>179.268</v>
      </c>
      <c r="G236" s="91">
        <v>177.536</v>
      </c>
      <c r="H236" s="91">
        <v>99.711</v>
      </c>
      <c r="I236" s="91">
        <v>106.1126</v>
      </c>
      <c r="J236" s="91">
        <v>106.852</v>
      </c>
      <c r="K236" s="91">
        <v>106.159</v>
      </c>
      <c r="L236" s="91">
        <v>18.15</v>
      </c>
    </row>
    <row r="237" spans="1:12" ht="12.75">
      <c r="A237" s="91" t="s">
        <v>543</v>
      </c>
      <c r="B237" s="92">
        <f t="shared" si="5"/>
        <v>91.08333333333222</v>
      </c>
      <c r="C237" s="97">
        <v>19.1</v>
      </c>
      <c r="D237" s="91">
        <v>173.6</v>
      </c>
      <c r="E237" s="91">
        <v>179.7558</v>
      </c>
      <c r="F237" s="91">
        <v>179.3586</v>
      </c>
      <c r="G237" s="91">
        <v>179.756</v>
      </c>
      <c r="H237" s="91">
        <v>107.8034</v>
      </c>
      <c r="I237" s="91">
        <v>110.1812</v>
      </c>
      <c r="J237" s="91">
        <v>108.2376</v>
      </c>
      <c r="K237" s="91">
        <v>110.345</v>
      </c>
      <c r="L237" s="91">
        <v>19.39</v>
      </c>
    </row>
    <row r="238" spans="1:12" ht="12.75">
      <c r="A238" s="91" t="s">
        <v>544</v>
      </c>
      <c r="B238" s="92">
        <f t="shared" si="5"/>
        <v>91.16666666666555</v>
      </c>
      <c r="C238" s="97">
        <v>19.8</v>
      </c>
      <c r="D238" s="91">
        <v>177.1</v>
      </c>
      <c r="E238" s="91">
        <v>177.4145</v>
      </c>
      <c r="F238" s="91">
        <v>179.4958</v>
      </c>
      <c r="G238" s="91">
        <v>177.415</v>
      </c>
      <c r="H238" s="91">
        <v>107.6438</v>
      </c>
      <c r="I238" s="91">
        <v>107.1947</v>
      </c>
      <c r="J238" s="91">
        <v>108.3546</v>
      </c>
      <c r="K238" s="91">
        <v>107.51</v>
      </c>
      <c r="L238" s="91">
        <v>19.73</v>
      </c>
    </row>
    <row r="239" spans="1:12" ht="12.75">
      <c r="A239" s="91" t="s">
        <v>545</v>
      </c>
      <c r="B239" s="92">
        <f t="shared" si="5"/>
        <v>91.24999999999888</v>
      </c>
      <c r="C239" s="97">
        <v>20.5</v>
      </c>
      <c r="D239" s="91">
        <v>182.1</v>
      </c>
      <c r="E239" s="91">
        <v>178.9252</v>
      </c>
      <c r="F239" s="91">
        <v>179.309</v>
      </c>
      <c r="G239" s="91">
        <v>178.925</v>
      </c>
      <c r="H239" s="91">
        <v>109.6163</v>
      </c>
      <c r="I239" s="91">
        <v>106.1397</v>
      </c>
      <c r="J239" s="91">
        <v>106.9684</v>
      </c>
      <c r="K239" s="91">
        <v>106.125</v>
      </c>
      <c r="L239" s="91">
        <v>20.6</v>
      </c>
    </row>
    <row r="240" spans="1:12" ht="12.75">
      <c r="A240" s="91" t="s">
        <v>546</v>
      </c>
      <c r="B240" s="92">
        <f t="shared" si="5"/>
        <v>91.3333333333322</v>
      </c>
      <c r="C240" s="97">
        <v>22.2</v>
      </c>
      <c r="D240" s="91">
        <v>193.8</v>
      </c>
      <c r="E240" s="91">
        <v>179.8395</v>
      </c>
      <c r="F240" s="91">
        <v>176.8526</v>
      </c>
      <c r="G240" s="91">
        <v>179.84</v>
      </c>
      <c r="H240" s="91">
        <v>117.6403</v>
      </c>
      <c r="I240" s="91">
        <v>105.9279</v>
      </c>
      <c r="J240" s="91">
        <v>103.7471</v>
      </c>
      <c r="K240" s="91">
        <v>106.547</v>
      </c>
      <c r="L240" s="91">
        <v>22.21</v>
      </c>
    </row>
    <row r="241" spans="1:12" ht="12.75">
      <c r="A241" s="91" t="s">
        <v>547</v>
      </c>
      <c r="B241" s="92">
        <f t="shared" si="5"/>
        <v>91.41666666666553</v>
      </c>
      <c r="C241" s="97">
        <v>21.3</v>
      </c>
      <c r="D241" s="91">
        <v>188.2</v>
      </c>
      <c r="E241" s="91">
        <v>175.2902</v>
      </c>
      <c r="F241" s="91">
        <v>171.4782</v>
      </c>
      <c r="G241" s="91">
        <v>175.29</v>
      </c>
      <c r="H241" s="91">
        <v>108.9464</v>
      </c>
      <c r="I241" s="91">
        <v>100.7971</v>
      </c>
      <c r="J241" s="91">
        <v>99.5337</v>
      </c>
      <c r="K241" s="91">
        <v>100.58</v>
      </c>
      <c r="L241" s="91">
        <v>21.13</v>
      </c>
    </row>
    <row r="242" spans="1:12" ht="12.75">
      <c r="A242" s="91" t="s">
        <v>548</v>
      </c>
      <c r="B242" s="92">
        <f t="shared" si="5"/>
        <v>91.49999999999886</v>
      </c>
      <c r="C242" s="97">
        <v>18.4</v>
      </c>
      <c r="D242" s="91">
        <v>165.5</v>
      </c>
      <c r="E242" s="91">
        <v>159.8673</v>
      </c>
      <c r="F242" s="91">
        <v>164.7299</v>
      </c>
      <c r="G242" s="91">
        <v>159.867</v>
      </c>
      <c r="H242" s="91">
        <v>92.8546</v>
      </c>
      <c r="I242" s="91">
        <v>91.5188</v>
      </c>
      <c r="J242" s="91">
        <v>95.0786</v>
      </c>
      <c r="K242" s="91">
        <v>90.987</v>
      </c>
      <c r="L242" s="91">
        <v>18.57</v>
      </c>
    </row>
    <row r="243" spans="1:12" ht="12.75">
      <c r="A243" s="91" t="s">
        <v>549</v>
      </c>
      <c r="B243" s="92">
        <f t="shared" si="5"/>
        <v>91.58333333333219</v>
      </c>
      <c r="C243" s="97">
        <v>18.2</v>
      </c>
      <c r="D243" s="91">
        <v>161.9</v>
      </c>
      <c r="E243" s="91">
        <v>156.7342</v>
      </c>
      <c r="F243" s="91">
        <v>157.2481</v>
      </c>
      <c r="G243" s="91">
        <v>156.734</v>
      </c>
      <c r="H243" s="91">
        <v>91.9288</v>
      </c>
      <c r="I243" s="91">
        <v>91.7093</v>
      </c>
      <c r="J243" s="91">
        <v>90.5752</v>
      </c>
      <c r="K243" s="91">
        <v>0</v>
      </c>
      <c r="L243" s="91">
        <v>18.2</v>
      </c>
    </row>
    <row r="244" spans="1:12" ht="12.75">
      <c r="A244" s="91" t="s">
        <v>550</v>
      </c>
      <c r="B244" s="92">
        <f t="shared" si="5"/>
        <v>91.66666666666552</v>
      </c>
      <c r="C244" s="97">
        <v>18.1</v>
      </c>
      <c r="D244" s="91">
        <v>0</v>
      </c>
      <c r="E244" s="91">
        <v>0</v>
      </c>
      <c r="F244" s="91">
        <v>0</v>
      </c>
      <c r="G244" s="91">
        <v>0</v>
      </c>
      <c r="H244" s="91">
        <v>0</v>
      </c>
      <c r="I244" s="91">
        <v>0</v>
      </c>
      <c r="J244" s="91">
        <v>0</v>
      </c>
      <c r="K244" s="91">
        <v>0</v>
      </c>
      <c r="L244" s="91">
        <v>0</v>
      </c>
    </row>
    <row r="245" spans="1:3" ht="12.75">
      <c r="A245" s="91" t="s">
        <v>551</v>
      </c>
      <c r="B245" s="92">
        <f t="shared" si="5"/>
        <v>91.74999999999885</v>
      </c>
      <c r="C245" s="97">
        <v>17.6</v>
      </c>
    </row>
    <row r="246" spans="1:3" ht="12.75">
      <c r="A246" s="91" t="s">
        <v>552</v>
      </c>
      <c r="B246" s="92">
        <f t="shared" si="5"/>
        <v>91.83333333333218</v>
      </c>
      <c r="C246" s="97">
        <v>19</v>
      </c>
    </row>
    <row r="247" spans="1:3" ht="12.75">
      <c r="A247" s="91" t="s">
        <v>553</v>
      </c>
      <c r="B247" s="92">
        <f t="shared" si="5"/>
        <v>91.9166666666655</v>
      </c>
      <c r="C247" s="97">
        <v>19.9</v>
      </c>
    </row>
    <row r="248" spans="1:3" ht="12.75">
      <c r="A248" s="91" t="s">
        <v>554</v>
      </c>
      <c r="B248" s="92">
        <f t="shared" si="5"/>
        <v>91.99999999999883</v>
      </c>
      <c r="C248" s="97">
        <v>21.2</v>
      </c>
    </row>
    <row r="249" spans="1:3" ht="12.75">
      <c r="A249" s="91" t="s">
        <v>555</v>
      </c>
      <c r="B249" s="92">
        <f t="shared" si="5"/>
        <v>92.08333333333216</v>
      </c>
      <c r="C249" s="97">
        <v>20.3</v>
      </c>
    </row>
    <row r="250" spans="1:3" ht="12.75">
      <c r="A250" s="91" t="s">
        <v>556</v>
      </c>
      <c r="B250" s="92">
        <f t="shared" si="5"/>
        <v>92.16666666666549</v>
      </c>
      <c r="C250" s="97">
        <v>19.8</v>
      </c>
    </row>
    <row r="251" spans="1:3" ht="12.75">
      <c r="A251" s="91" t="s">
        <v>557</v>
      </c>
      <c r="B251" s="92">
        <f t="shared" si="5"/>
        <v>92.24999999999882</v>
      </c>
      <c r="C251" s="97">
        <v>20.3</v>
      </c>
    </row>
    <row r="252" spans="1:3" ht="12.75">
      <c r="A252" s="91" t="s">
        <v>558</v>
      </c>
      <c r="B252" s="92">
        <f t="shared" si="5"/>
        <v>92.33333333333215</v>
      </c>
      <c r="C252" s="97">
        <v>20.3</v>
      </c>
    </row>
    <row r="253" spans="1:3" ht="12.75">
      <c r="A253" s="91" t="s">
        <v>559</v>
      </c>
      <c r="B253" s="92">
        <f t="shared" si="5"/>
        <v>92.41666666666548</v>
      </c>
      <c r="C253" s="97">
        <v>19.2</v>
      </c>
    </row>
    <row r="254" spans="1:3" ht="12.75">
      <c r="A254" s="91" t="s">
        <v>560</v>
      </c>
      <c r="B254" s="92">
        <f t="shared" si="5"/>
        <v>92.4999999999988</v>
      </c>
      <c r="C254" s="97">
        <v>18.5</v>
      </c>
    </row>
    <row r="255" spans="1:3" ht="12.75">
      <c r="A255" s="91" t="s">
        <v>561</v>
      </c>
      <c r="B255" s="92">
        <f t="shared" si="5"/>
        <v>92.58333333333213</v>
      </c>
      <c r="C255" s="97">
        <v>17.4</v>
      </c>
    </row>
    <row r="256" spans="1:3" ht="12.75">
      <c r="A256" s="91" t="s">
        <v>562</v>
      </c>
      <c r="B256" s="92">
        <f t="shared" si="5"/>
        <v>92.66666666666546</v>
      </c>
      <c r="C256" s="97">
        <v>18.5</v>
      </c>
    </row>
    <row r="257" spans="1:3" ht="12.75">
      <c r="A257" s="91" t="s">
        <v>563</v>
      </c>
      <c r="B257" s="92">
        <f t="shared" si="5"/>
        <v>92.74999999999879</v>
      </c>
      <c r="C257" s="97">
        <v>18.7</v>
      </c>
    </row>
    <row r="258" spans="1:3" ht="12.75">
      <c r="A258" s="91" t="s">
        <v>564</v>
      </c>
      <c r="B258" s="92">
        <f t="shared" si="5"/>
        <v>92.83333333333212</v>
      </c>
      <c r="C258" s="97">
        <v>18.7</v>
      </c>
    </row>
    <row r="259" spans="1:3" ht="12.75">
      <c r="A259" s="91" t="s">
        <v>565</v>
      </c>
      <c r="B259" s="92">
        <f t="shared" si="5"/>
        <v>92.91666666666545</v>
      </c>
      <c r="C259" s="97">
        <v>18.5</v>
      </c>
    </row>
    <row r="260" spans="1:3" ht="12.75">
      <c r="A260" s="91" t="s">
        <v>566</v>
      </c>
      <c r="B260" s="92">
        <f aca="true" t="shared" si="6" ref="B260:B275">B259+1/12</f>
        <v>92.99999999999878</v>
      </c>
      <c r="C260" s="97">
        <v>17.7</v>
      </c>
    </row>
    <row r="261" spans="1:3" ht="12.75">
      <c r="A261" s="91" t="s">
        <v>567</v>
      </c>
      <c r="B261" s="92">
        <f t="shared" si="6"/>
        <v>93.0833333333321</v>
      </c>
      <c r="C261" s="97">
        <v>16.9</v>
      </c>
    </row>
    <row r="262" spans="1:3" ht="12.75">
      <c r="A262" s="91" t="s">
        <v>568</v>
      </c>
      <c r="B262" s="92">
        <f t="shared" si="6"/>
        <v>93.16666666666544</v>
      </c>
      <c r="C262" s="97">
        <v>16.7</v>
      </c>
    </row>
    <row r="263" spans="1:3" ht="12.75">
      <c r="A263" s="94" t="s">
        <v>569</v>
      </c>
      <c r="B263" s="92">
        <f t="shared" si="6"/>
        <v>93.24999999999876</v>
      </c>
      <c r="C263" s="97">
        <v>16</v>
      </c>
    </row>
    <row r="264" spans="1:3" ht="12.75">
      <c r="A264" s="94" t="s">
        <v>570</v>
      </c>
      <c r="B264" s="92">
        <f t="shared" si="6"/>
        <v>93.33333333333209</v>
      </c>
      <c r="C264" s="97">
        <v>16.6</v>
      </c>
    </row>
    <row r="265" spans="1:3" ht="12.75">
      <c r="A265" s="94" t="s">
        <v>571</v>
      </c>
      <c r="B265" s="92">
        <f t="shared" si="6"/>
        <v>93.41666666666542</v>
      </c>
      <c r="C265" s="97">
        <v>15.3</v>
      </c>
    </row>
    <row r="266" spans="1:3" ht="12.75">
      <c r="A266" s="94" t="s">
        <v>572</v>
      </c>
      <c r="B266" s="92">
        <f t="shared" si="6"/>
        <v>93.49999999999875</v>
      </c>
      <c r="C266" s="97">
        <v>13.6</v>
      </c>
    </row>
    <row r="267" spans="1:4" ht="12.75">
      <c r="A267" s="94" t="s">
        <v>573</v>
      </c>
      <c r="B267" s="92">
        <f t="shared" si="6"/>
        <v>93.58333333333208</v>
      </c>
      <c r="C267" s="97">
        <v>14.1</v>
      </c>
      <c r="D267" s="95"/>
    </row>
    <row r="268" spans="1:3" ht="12.75">
      <c r="A268" s="94" t="s">
        <v>574</v>
      </c>
      <c r="B268" s="92">
        <f t="shared" si="6"/>
        <v>93.6666666666654</v>
      </c>
      <c r="C268" s="97">
        <v>13.8</v>
      </c>
    </row>
    <row r="269" spans="1:12" ht="12.75">
      <c r="A269" s="94" t="s">
        <v>575</v>
      </c>
      <c r="B269" s="92">
        <f t="shared" si="6"/>
        <v>93.74999999999874</v>
      </c>
      <c r="C269" s="96">
        <v>13.9</v>
      </c>
      <c r="D269" s="91"/>
      <c r="E269" s="91"/>
      <c r="F269" s="91"/>
      <c r="G269" s="91"/>
      <c r="H269" s="91"/>
      <c r="I269" s="91"/>
      <c r="J269" s="91"/>
      <c r="K269" s="91"/>
      <c r="L269" s="91"/>
    </row>
    <row r="270" spans="1:3" ht="12.75" customHeight="1">
      <c r="A270" s="94" t="s">
        <v>576</v>
      </c>
      <c r="B270" s="92">
        <f t="shared" si="6"/>
        <v>93.83333333333206</v>
      </c>
      <c r="C270" s="97">
        <v>15.2</v>
      </c>
    </row>
    <row r="271" spans="1:12" ht="12.75">
      <c r="A271" s="94" t="s">
        <v>577</v>
      </c>
      <c r="B271" s="92">
        <f t="shared" si="6"/>
        <v>93.91666666666539</v>
      </c>
      <c r="C271" s="96">
        <v>16.3</v>
      </c>
      <c r="D271" s="91"/>
      <c r="E271" s="91"/>
      <c r="F271" s="91"/>
      <c r="G271" s="91"/>
      <c r="H271" s="91"/>
      <c r="I271" s="91"/>
      <c r="J271" s="91"/>
      <c r="K271" s="91"/>
      <c r="L271" s="91"/>
    </row>
    <row r="272" spans="1:3" ht="12.75" customHeight="1">
      <c r="A272" s="94" t="s">
        <v>578</v>
      </c>
      <c r="B272" s="92">
        <f t="shared" si="6"/>
        <v>93.99999999999872</v>
      </c>
      <c r="C272" s="97">
        <v>16.7</v>
      </c>
    </row>
    <row r="273" spans="1:3" ht="12.75" customHeight="1">
      <c r="A273" s="94" t="s">
        <v>579</v>
      </c>
      <c r="B273" s="92">
        <f t="shared" si="6"/>
        <v>94.08333333333205</v>
      </c>
      <c r="C273" s="97">
        <v>17.6</v>
      </c>
    </row>
    <row r="274" spans="1:3" ht="12.75" customHeight="1">
      <c r="A274" s="94" t="s">
        <v>580</v>
      </c>
      <c r="B274" s="92">
        <f t="shared" si="6"/>
        <v>94.16666666666538</v>
      </c>
      <c r="C274" s="97">
        <v>16.8</v>
      </c>
    </row>
    <row r="275" spans="1:3" ht="12.75" customHeight="1">
      <c r="A275" s="94" t="s">
        <v>581</v>
      </c>
      <c r="B275" s="92">
        <f t="shared" si="6"/>
        <v>94.2499999999987</v>
      </c>
      <c r="C275" s="97">
        <v>15.9</v>
      </c>
    </row>
    <row r="276" spans="1:3" ht="12.75" customHeight="1">
      <c r="A276" s="94" t="s">
        <v>582</v>
      </c>
      <c r="B276" s="92">
        <f aca="true" t="shared" si="7" ref="B276:B291">B275+1/12</f>
        <v>94.33333333333204</v>
      </c>
      <c r="C276" s="97">
        <v>16.4</v>
      </c>
    </row>
    <row r="277" spans="1:3" ht="12.75" customHeight="1">
      <c r="A277" s="94" t="s">
        <v>583</v>
      </c>
      <c r="B277" s="92">
        <f t="shared" si="7"/>
        <v>94.41666666666536</v>
      </c>
      <c r="C277" s="97">
        <v>17.3</v>
      </c>
    </row>
    <row r="278" spans="1:3" ht="12.75" customHeight="1">
      <c r="A278" s="94" t="s">
        <v>584</v>
      </c>
      <c r="B278" s="92">
        <f t="shared" si="7"/>
        <v>94.49999999999869</v>
      </c>
      <c r="C278" s="97">
        <v>15.9</v>
      </c>
    </row>
    <row r="279" spans="1:3" ht="12.75" customHeight="1">
      <c r="A279" s="94" t="s">
        <v>585</v>
      </c>
      <c r="B279" s="92">
        <f t="shared" si="7"/>
        <v>94.58333333333202</v>
      </c>
      <c r="C279" s="97">
        <v>16.6</v>
      </c>
    </row>
    <row r="280" spans="1:3" ht="12.75" customHeight="1">
      <c r="A280" s="94" t="s">
        <v>586</v>
      </c>
      <c r="B280" s="92">
        <f t="shared" si="7"/>
        <v>94.66666666666535</v>
      </c>
      <c r="C280" s="97">
        <v>17.1</v>
      </c>
    </row>
    <row r="281" spans="1:3" ht="12.75" customHeight="1">
      <c r="A281" s="94" t="s">
        <v>587</v>
      </c>
      <c r="B281" s="92">
        <f t="shared" si="7"/>
        <v>94.74999999999868</v>
      </c>
      <c r="C281" s="97">
        <v>17</v>
      </c>
    </row>
    <row r="282" spans="1:4" ht="12.75" customHeight="1">
      <c r="A282" s="94" t="s">
        <v>588</v>
      </c>
      <c r="B282" s="92">
        <f t="shared" si="7"/>
        <v>94.833333333332</v>
      </c>
      <c r="C282" s="97">
        <v>18.7</v>
      </c>
      <c r="D282" s="95"/>
    </row>
    <row r="283" spans="1:3" ht="12.75" customHeight="1">
      <c r="A283" s="94" t="s">
        <v>589</v>
      </c>
      <c r="B283" s="92">
        <f t="shared" si="7"/>
        <v>94.91666666666534</v>
      </c>
      <c r="C283" s="97">
        <v>18.3</v>
      </c>
    </row>
    <row r="284" spans="1:3" ht="12.75" customHeight="1">
      <c r="A284" s="94" t="s">
        <v>590</v>
      </c>
      <c r="B284" s="92">
        <f t="shared" si="7"/>
        <v>94.99999999999866</v>
      </c>
      <c r="C284" s="97">
        <v>17.4</v>
      </c>
    </row>
    <row r="285" spans="1:3" ht="12.75" customHeight="1">
      <c r="A285" s="94" t="s">
        <v>591</v>
      </c>
      <c r="B285" s="92">
        <f t="shared" si="7"/>
        <v>95.08333333333199</v>
      </c>
      <c r="C285" s="97">
        <v>15.9</v>
      </c>
    </row>
    <row r="286" spans="1:3" ht="12.75" customHeight="1">
      <c r="A286" s="94" t="s">
        <v>592</v>
      </c>
      <c r="B286" s="92">
        <f t="shared" si="7"/>
        <v>95.16666666666532</v>
      </c>
      <c r="C286" s="97">
        <v>16.1</v>
      </c>
    </row>
    <row r="287" spans="1:3" ht="12.75" customHeight="1">
      <c r="A287" s="94" t="s">
        <v>593</v>
      </c>
      <c r="B287" s="92">
        <f t="shared" si="7"/>
        <v>95.24999999999865</v>
      </c>
      <c r="C287" s="97">
        <v>16.7</v>
      </c>
    </row>
    <row r="288" spans="1:3" ht="12.75" customHeight="1">
      <c r="A288" s="94" t="s">
        <v>594</v>
      </c>
      <c r="B288" s="92">
        <f t="shared" si="7"/>
        <v>95.33333333333198</v>
      </c>
      <c r="C288" s="97">
        <v>16.1</v>
      </c>
    </row>
    <row r="289" spans="1:3" ht="12.75" customHeight="1">
      <c r="A289" s="94" t="s">
        <v>595</v>
      </c>
      <c r="B289" s="92">
        <f t="shared" si="7"/>
        <v>95.41666666666531</v>
      </c>
      <c r="C289" s="97">
        <v>16.9</v>
      </c>
    </row>
    <row r="290" spans="1:3" ht="12.75" customHeight="1">
      <c r="A290" s="94" t="s">
        <v>596</v>
      </c>
      <c r="B290" s="92">
        <f t="shared" si="7"/>
        <v>95.49999999999864</v>
      </c>
      <c r="C290" s="97">
        <v>18</v>
      </c>
    </row>
    <row r="291" spans="1:3" ht="12.75" customHeight="1">
      <c r="A291" s="94" t="s">
        <v>597</v>
      </c>
      <c r="B291" s="92">
        <f t="shared" si="7"/>
        <v>95.58333333333196</v>
      </c>
      <c r="C291" s="97">
        <v>17.9</v>
      </c>
    </row>
    <row r="292" spans="1:3" ht="12.75" customHeight="1">
      <c r="A292" s="94" t="s">
        <v>598</v>
      </c>
      <c r="B292" s="92">
        <f aca="true" t="shared" si="8" ref="B292:B307">B291+1/12</f>
        <v>95.6666666666653</v>
      </c>
      <c r="C292" s="97">
        <v>18</v>
      </c>
    </row>
    <row r="293" spans="1:3" ht="12.75" customHeight="1">
      <c r="A293" s="94" t="s">
        <v>599</v>
      </c>
      <c r="B293" s="92">
        <f t="shared" si="8"/>
        <v>95.74999999999862</v>
      </c>
      <c r="C293">
        <v>20</v>
      </c>
    </row>
    <row r="294" spans="1:3" ht="12.75" customHeight="1">
      <c r="A294" s="94" t="s">
        <v>600</v>
      </c>
      <c r="B294" s="92">
        <f t="shared" si="8"/>
        <v>95.83333333333195</v>
      </c>
      <c r="C294">
        <v>21</v>
      </c>
    </row>
    <row r="295" spans="1:3" ht="12.75" customHeight="1">
      <c r="A295" s="94" t="s">
        <v>601</v>
      </c>
      <c r="B295" s="92">
        <f t="shared" si="8"/>
        <v>95.91666666666528</v>
      </c>
      <c r="C295">
        <v>19.2</v>
      </c>
    </row>
    <row r="296" spans="1:3" ht="12.75" customHeight="1">
      <c r="A296" s="94" t="s">
        <v>602</v>
      </c>
      <c r="B296" s="92">
        <f t="shared" si="8"/>
        <v>95.99999999999861</v>
      </c>
      <c r="C296">
        <v>18.3</v>
      </c>
    </row>
    <row r="297" spans="1:3" ht="12.75" customHeight="1">
      <c r="A297" s="94" t="s">
        <v>603</v>
      </c>
      <c r="B297" s="92">
        <f t="shared" si="8"/>
        <v>96.08333333333194</v>
      </c>
      <c r="C297">
        <v>19.6</v>
      </c>
    </row>
    <row r="298" spans="1:3" ht="12.75" customHeight="1">
      <c r="A298" s="94" t="s">
        <v>604</v>
      </c>
      <c r="B298" s="92">
        <f t="shared" si="8"/>
        <v>96.16666666666526</v>
      </c>
      <c r="C298">
        <v>20.6</v>
      </c>
    </row>
    <row r="299" spans="1:3" ht="12.75" customHeight="1">
      <c r="A299" s="94" t="s">
        <v>605</v>
      </c>
      <c r="B299" s="92">
        <f t="shared" si="8"/>
        <v>96.2499999999986</v>
      </c>
      <c r="C299">
        <v>22.6</v>
      </c>
    </row>
    <row r="300" spans="1:3" ht="12.75" customHeight="1">
      <c r="A300" s="94" t="s">
        <v>606</v>
      </c>
      <c r="B300" s="92">
        <f t="shared" si="8"/>
        <v>96.33333333333192</v>
      </c>
      <c r="C300">
        <v>24.2</v>
      </c>
    </row>
    <row r="301" spans="1:3" ht="12.75" customHeight="1">
      <c r="A301" s="94" t="s">
        <v>607</v>
      </c>
      <c r="B301" s="92">
        <f t="shared" si="8"/>
        <v>96.41666666666525</v>
      </c>
      <c r="C301">
        <v>22.6</v>
      </c>
    </row>
    <row r="302" spans="1:3" ht="12.75" customHeight="1">
      <c r="A302" s="94" t="s">
        <v>608</v>
      </c>
      <c r="B302" s="92">
        <f t="shared" si="8"/>
        <v>96.49999999999858</v>
      </c>
      <c r="C302">
        <v>23.9</v>
      </c>
    </row>
    <row r="303" spans="1:3" ht="12.75" customHeight="1">
      <c r="A303" s="94" t="s">
        <v>609</v>
      </c>
      <c r="B303" s="92">
        <f t="shared" si="8"/>
        <v>96.58333333333191</v>
      </c>
      <c r="C303">
        <v>23.5</v>
      </c>
    </row>
    <row r="304" spans="1:7" ht="12.75" customHeight="1">
      <c r="A304" s="94" t="s">
        <v>610</v>
      </c>
      <c r="B304" s="92">
        <f t="shared" si="8"/>
        <v>96.66666666666524</v>
      </c>
      <c r="C304">
        <v>20.8</v>
      </c>
      <c r="E304" s="95"/>
      <c r="G304" t="s">
        <v>611</v>
      </c>
    </row>
    <row r="305" spans="1:7" ht="12.75" customHeight="1">
      <c r="A305" s="94" t="s">
        <v>612</v>
      </c>
      <c r="B305" s="92">
        <f t="shared" si="8"/>
        <v>96.74999999999856</v>
      </c>
      <c r="C305">
        <v>19.2</v>
      </c>
      <c r="G305" t="s">
        <v>611</v>
      </c>
    </row>
    <row r="306" spans="1:7" ht="12.75" customHeight="1">
      <c r="A306" s="94" t="s">
        <v>613</v>
      </c>
      <c r="B306" s="92">
        <f t="shared" si="8"/>
        <v>96.8333333333319</v>
      </c>
      <c r="C306">
        <v>17.5</v>
      </c>
      <c r="G306" t="s">
        <v>611</v>
      </c>
    </row>
    <row r="307" spans="1:7" ht="12.75" customHeight="1">
      <c r="A307" s="94" t="s">
        <v>614</v>
      </c>
      <c r="B307" s="92">
        <f t="shared" si="8"/>
        <v>96.91666666666522</v>
      </c>
      <c r="C307">
        <v>19.1</v>
      </c>
      <c r="G307" t="s">
        <v>611</v>
      </c>
    </row>
    <row r="308" spans="1:7" ht="12.75" customHeight="1">
      <c r="A308" s="94" t="s">
        <v>615</v>
      </c>
      <c r="B308" s="92">
        <f aca="true" t="shared" si="9" ref="B308:B371">B307+1/12</f>
        <v>96.99999999999855</v>
      </c>
      <c r="C308">
        <v>17.6</v>
      </c>
      <c r="G308" t="s">
        <v>611</v>
      </c>
    </row>
    <row r="309" spans="1:7" ht="12.75" customHeight="1">
      <c r="A309" s="94" t="s">
        <v>616</v>
      </c>
      <c r="B309" s="92">
        <f t="shared" si="9"/>
        <v>97.08333333333188</v>
      </c>
      <c r="C309">
        <v>18.4</v>
      </c>
      <c r="G309" t="s">
        <v>611</v>
      </c>
    </row>
    <row r="310" spans="1:7" ht="12.75" customHeight="1">
      <c r="A310" s="94" t="s">
        <v>617</v>
      </c>
      <c r="B310" s="92">
        <f t="shared" si="9"/>
        <v>97.16666666666521</v>
      </c>
      <c r="C310">
        <v>18.7</v>
      </c>
      <c r="G310" t="s">
        <v>611</v>
      </c>
    </row>
    <row r="311" spans="1:7" ht="12.75" customHeight="1">
      <c r="A311" s="94" t="s">
        <v>618</v>
      </c>
      <c r="B311" s="92">
        <f t="shared" si="9"/>
        <v>97.24999999999854</v>
      </c>
      <c r="C311">
        <v>18.5</v>
      </c>
      <c r="G311" t="s">
        <v>611</v>
      </c>
    </row>
    <row r="312" spans="1:7" ht="12.75" customHeight="1">
      <c r="A312" s="94" t="s">
        <v>619</v>
      </c>
      <c r="B312" s="92">
        <f t="shared" si="9"/>
        <v>97.33333333333186</v>
      </c>
      <c r="C312">
        <v>19.9</v>
      </c>
      <c r="G312" t="s">
        <v>611</v>
      </c>
    </row>
    <row r="313" spans="1:7" ht="12.75" customHeight="1">
      <c r="A313" s="94" t="s">
        <v>620</v>
      </c>
      <c r="B313" s="92">
        <f t="shared" si="9"/>
        <v>97.4166666666652</v>
      </c>
      <c r="C313">
        <v>19</v>
      </c>
      <c r="G313" t="s">
        <v>611</v>
      </c>
    </row>
    <row r="314" spans="1:7" ht="12.75" customHeight="1">
      <c r="A314" s="94" t="s">
        <v>621</v>
      </c>
      <c r="B314" s="92">
        <f t="shared" si="9"/>
        <v>97.49999999999852</v>
      </c>
      <c r="C314">
        <v>17.1</v>
      </c>
      <c r="G314" t="s">
        <v>611</v>
      </c>
    </row>
    <row r="315" spans="1:7" ht="12.75" customHeight="1">
      <c r="A315" s="94" t="s">
        <v>622</v>
      </c>
      <c r="B315" s="92">
        <f t="shared" si="9"/>
        <v>97.58333333333185</v>
      </c>
      <c r="C315">
        <v>15.1</v>
      </c>
      <c r="G315" t="s">
        <v>611</v>
      </c>
    </row>
    <row r="316" spans="1:7" ht="12.75" customHeight="1">
      <c r="A316" s="94" t="s">
        <v>623</v>
      </c>
      <c r="B316" s="92">
        <f t="shared" si="9"/>
        <v>97.66666666666518</v>
      </c>
      <c r="C316">
        <v>14.1</v>
      </c>
      <c r="G316" t="s">
        <v>611</v>
      </c>
    </row>
    <row r="317" spans="1:7" ht="12.75" customHeight="1">
      <c r="A317" s="94" t="s">
        <v>624</v>
      </c>
      <c r="B317" s="92">
        <f t="shared" si="9"/>
        <v>97.74999999999851</v>
      </c>
      <c r="C317">
        <v>13.1</v>
      </c>
      <c r="G317" t="s">
        <v>611</v>
      </c>
    </row>
    <row r="318" spans="1:3" ht="12.75" customHeight="1">
      <c r="A318" s="94" t="s">
        <v>625</v>
      </c>
      <c r="B318" s="92">
        <f t="shared" si="9"/>
        <v>97.83333333333184</v>
      </c>
      <c r="C318" s="97">
        <v>13.4</v>
      </c>
    </row>
    <row r="319" spans="1:3" ht="12.75" customHeight="1">
      <c r="A319" s="94" t="s">
        <v>626</v>
      </c>
      <c r="B319" s="92">
        <f t="shared" si="9"/>
        <v>97.91666666666517</v>
      </c>
      <c r="C319" s="97">
        <v>14.4</v>
      </c>
    </row>
    <row r="320" spans="1:3" ht="12.75" customHeight="1">
      <c r="A320" s="94" t="s">
        <v>627</v>
      </c>
      <c r="B320" s="92">
        <f t="shared" si="9"/>
        <v>97.9999999999985</v>
      </c>
      <c r="C320" s="97">
        <v>12.1</v>
      </c>
    </row>
    <row r="321" spans="1:3" ht="12.75" customHeight="1">
      <c r="A321" s="94" t="s">
        <v>628</v>
      </c>
      <c r="B321" s="92">
        <f t="shared" si="9"/>
        <v>98.08333333333182</v>
      </c>
      <c r="C321" s="97">
        <v>12</v>
      </c>
    </row>
    <row r="322" spans="1:3" ht="12.75" customHeight="1">
      <c r="A322" s="94" t="s">
        <v>629</v>
      </c>
      <c r="B322" s="92">
        <f t="shared" si="9"/>
        <v>98.16666666666515</v>
      </c>
      <c r="C322" s="97">
        <v>11.9</v>
      </c>
    </row>
    <row r="323" spans="1:3" ht="12.75" customHeight="1">
      <c r="A323" s="94" t="s">
        <v>630</v>
      </c>
      <c r="B323" s="92">
        <f t="shared" si="9"/>
        <v>98.24999999999848</v>
      </c>
      <c r="C323" s="97">
        <v>13.4</v>
      </c>
    </row>
    <row r="324" spans="1:3" ht="12.75" customHeight="1">
      <c r="A324" s="94" t="s">
        <v>631</v>
      </c>
      <c r="B324" s="92">
        <f t="shared" si="9"/>
        <v>98.33333333333181</v>
      </c>
      <c r="C324" s="97">
        <v>12.6</v>
      </c>
    </row>
    <row r="325" spans="1:3" ht="12.75" customHeight="1">
      <c r="A325" s="94" t="s">
        <v>632</v>
      </c>
      <c r="B325" s="92">
        <f t="shared" si="9"/>
        <v>98.41666666666514</v>
      </c>
      <c r="C325" s="97">
        <v>10.9</v>
      </c>
    </row>
    <row r="326" spans="1:3" ht="12.75" customHeight="1">
      <c r="A326" s="94" t="s">
        <v>633</v>
      </c>
      <c r="B326" s="92">
        <f t="shared" si="9"/>
        <v>98.49999999999847</v>
      </c>
      <c r="C326" s="97">
        <v>9.8</v>
      </c>
    </row>
    <row r="327" spans="1:3" ht="12.75" customHeight="1">
      <c r="A327" s="94" t="s">
        <v>634</v>
      </c>
      <c r="B327" s="92">
        <f t="shared" si="9"/>
        <v>98.5833333333318</v>
      </c>
      <c r="C327" s="97">
        <v>11</v>
      </c>
    </row>
    <row r="328" spans="1:3" ht="12.75" customHeight="1">
      <c r="A328" s="94" t="s">
        <v>635</v>
      </c>
      <c r="B328" s="92">
        <f t="shared" si="9"/>
        <v>98.66666666666512</v>
      </c>
      <c r="C328" s="97">
        <v>10.2</v>
      </c>
    </row>
    <row r="329" spans="1:3" ht="12.75" customHeight="1">
      <c r="A329" s="94" t="s">
        <v>682</v>
      </c>
      <c r="B329" s="92">
        <f t="shared" si="9"/>
        <v>98.74999999999845</v>
      </c>
      <c r="C329">
        <v>12.1</v>
      </c>
    </row>
    <row r="330" spans="1:3" ht="12.75" customHeight="1">
      <c r="A330" s="94" t="s">
        <v>683</v>
      </c>
      <c r="B330" s="92">
        <f t="shared" si="9"/>
        <v>98.83333333333178</v>
      </c>
      <c r="C330">
        <v>15.2</v>
      </c>
    </row>
    <row r="331" spans="1:3" ht="12.75" customHeight="1">
      <c r="A331" s="94" t="s">
        <v>684</v>
      </c>
      <c r="B331" s="92">
        <f t="shared" si="9"/>
        <v>98.91666666666511</v>
      </c>
      <c r="C331">
        <v>15.2</v>
      </c>
    </row>
    <row r="332" spans="1:3" ht="12.75" customHeight="1">
      <c r="A332" s="94" t="s">
        <v>685</v>
      </c>
      <c r="B332" s="92">
        <f t="shared" si="9"/>
        <v>98.99999999999844</v>
      </c>
      <c r="C332">
        <v>15.6</v>
      </c>
    </row>
    <row r="333" spans="1:3" ht="12.75" customHeight="1">
      <c r="A333" s="94" t="s">
        <v>686</v>
      </c>
      <c r="B333" s="92">
        <f t="shared" si="9"/>
        <v>99.08333333333177</v>
      </c>
      <c r="C333">
        <v>18.7</v>
      </c>
    </row>
    <row r="334" spans="1:13" ht="12.75" customHeight="1">
      <c r="A334" s="94" t="s">
        <v>687</v>
      </c>
      <c r="B334" s="92">
        <f t="shared" si="9"/>
        <v>99.1666666666651</v>
      </c>
      <c r="C334">
        <v>20.2</v>
      </c>
      <c r="M334" s="122"/>
    </row>
    <row r="335" spans="1:13" ht="12.75" customHeight="1">
      <c r="A335" s="94" t="s">
        <v>688</v>
      </c>
      <c r="B335" s="92">
        <f t="shared" si="9"/>
        <v>99.24999999999842</v>
      </c>
      <c r="C335">
        <v>22.1</v>
      </c>
      <c r="M335" s="27">
        <v>17.6138</v>
      </c>
    </row>
    <row r="336" spans="1:13" ht="12.75" customHeight="1">
      <c r="A336" s="94" t="s">
        <v>689</v>
      </c>
      <c r="B336" s="92">
        <f t="shared" si="9"/>
        <v>99.33333333333175</v>
      </c>
      <c r="C336">
        <v>22.1</v>
      </c>
      <c r="M336" s="27">
        <v>19.0968</v>
      </c>
    </row>
    <row r="337" spans="1:13" ht="12.75" customHeight="1">
      <c r="A337" s="94" t="s">
        <v>690</v>
      </c>
      <c r="B337" s="92">
        <f t="shared" si="9"/>
        <v>99.41666666666508</v>
      </c>
      <c r="C337">
        <v>24.6</v>
      </c>
      <c r="M337" s="125">
        <v>22.4568</v>
      </c>
    </row>
    <row r="338" spans="1:13" ht="12.75" customHeight="1">
      <c r="A338" s="94" t="s">
        <v>691</v>
      </c>
      <c r="B338" s="92">
        <f t="shared" si="9"/>
        <v>99.49999999999841</v>
      </c>
      <c r="C338">
        <v>25.5</v>
      </c>
      <c r="M338" s="125">
        <v>24.4723</v>
      </c>
    </row>
    <row r="339" spans="1:13" ht="12.75" customHeight="1">
      <c r="A339" s="94" t="s">
        <v>692</v>
      </c>
      <c r="B339" s="121">
        <v>0</v>
      </c>
      <c r="C339">
        <v>25.2</v>
      </c>
      <c r="M339" s="125">
        <v>24.2119</v>
      </c>
    </row>
    <row r="340" spans="1:13" ht="12.75" customHeight="1">
      <c r="A340" s="94" t="s">
        <v>693</v>
      </c>
      <c r="B340" s="121">
        <f t="shared" si="9"/>
        <v>0.08333333333333333</v>
      </c>
      <c r="C340">
        <v>27.6</v>
      </c>
      <c r="M340" s="125">
        <v>23.879</v>
      </c>
    </row>
    <row r="341" spans="1:13" ht="12.75" customHeight="1">
      <c r="A341" s="94" t="s">
        <v>694</v>
      </c>
      <c r="B341" s="121">
        <f t="shared" si="9"/>
        <v>0.16666666666666666</v>
      </c>
      <c r="C341">
        <v>27.5</v>
      </c>
      <c r="M341" s="125">
        <v>21.7632</v>
      </c>
    </row>
    <row r="342" spans="1:13" ht="12.75" customHeight="1">
      <c r="A342" s="94" t="s">
        <v>695</v>
      </c>
      <c r="B342" s="121">
        <f t="shared" si="9"/>
        <v>0.25</v>
      </c>
      <c r="C342">
        <v>22.5</v>
      </c>
      <c r="M342" s="125">
        <v>25.5302</v>
      </c>
    </row>
    <row r="343" spans="1:13" ht="12.75" customHeight="1">
      <c r="A343" s="94" t="s">
        <v>696</v>
      </c>
      <c r="B343" s="121">
        <f t="shared" si="9"/>
        <v>0.3333333333333333</v>
      </c>
      <c r="C343">
        <v>27.4</v>
      </c>
      <c r="M343" s="125">
        <v>17.8605</v>
      </c>
    </row>
    <row r="344" spans="1:13" ht="12.75" customHeight="1">
      <c r="A344" s="94" t="s">
        <v>697</v>
      </c>
      <c r="B344" s="121">
        <f t="shared" si="9"/>
        <v>0.41666666666666663</v>
      </c>
      <c r="C344">
        <v>29.7</v>
      </c>
      <c r="M344" s="125">
        <f>(18.7681+18.9962)/2</f>
        <v>18.882150000000003</v>
      </c>
    </row>
    <row r="345" spans="1:13" ht="12.75" customHeight="1">
      <c r="A345" s="94" t="s">
        <v>698</v>
      </c>
      <c r="B345" s="121">
        <f t="shared" si="9"/>
        <v>0.49999999999999994</v>
      </c>
      <c r="C345">
        <v>28.5</v>
      </c>
      <c r="M345" s="125">
        <v>23.0219</v>
      </c>
    </row>
    <row r="346" spans="1:13" ht="12.75" customHeight="1">
      <c r="A346" s="94" t="s">
        <v>699</v>
      </c>
      <c r="B346" s="121">
        <f t="shared" si="9"/>
        <v>0.5833333333333333</v>
      </c>
      <c r="C346">
        <v>29.9</v>
      </c>
      <c r="M346" s="125">
        <v>17.6155</v>
      </c>
    </row>
    <row r="347" spans="1:13" ht="12.75" customHeight="1">
      <c r="A347" s="94" t="s">
        <v>700</v>
      </c>
      <c r="B347" s="121">
        <f t="shared" si="9"/>
        <v>0.6666666666666666</v>
      </c>
      <c r="C347">
        <v>32.6</v>
      </c>
      <c r="M347" s="125">
        <v>30.7251</v>
      </c>
    </row>
    <row r="348" spans="1:13" ht="12.75" customHeight="1">
      <c r="A348" s="94" t="s">
        <v>701</v>
      </c>
      <c r="B348" s="121">
        <f t="shared" si="9"/>
        <v>0.75</v>
      </c>
      <c r="C348">
        <v>30.9</v>
      </c>
      <c r="M348" s="125">
        <v>26.8842</v>
      </c>
    </row>
    <row r="349" spans="1:13" ht="12.75" customHeight="1">
      <c r="A349" s="94" t="s">
        <v>702</v>
      </c>
      <c r="B349" s="121">
        <f t="shared" si="9"/>
        <v>0.8333333333333334</v>
      </c>
      <c r="C349">
        <v>32.5</v>
      </c>
      <c r="M349" s="125">
        <v>23.7517</v>
      </c>
    </row>
    <row r="350" spans="1:13" ht="12.75" customHeight="1">
      <c r="A350" s="94" t="s">
        <v>703</v>
      </c>
      <c r="B350" s="121">
        <f t="shared" si="9"/>
        <v>0.9166666666666667</v>
      </c>
      <c r="C350">
        <v>25.3</v>
      </c>
      <c r="M350" s="125">
        <v>25.5112</v>
      </c>
    </row>
    <row r="351" spans="1:15" ht="12.75" customHeight="1">
      <c r="A351" s="94" t="s">
        <v>704</v>
      </c>
      <c r="B351" s="121">
        <f t="shared" si="9"/>
        <v>1</v>
      </c>
      <c r="C351">
        <v>25.6</v>
      </c>
      <c r="M351" s="125">
        <v>26.6297</v>
      </c>
      <c r="O351" s="95"/>
    </row>
    <row r="352" spans="1:15" ht="12.75" customHeight="1">
      <c r="A352" s="94" t="s">
        <v>706</v>
      </c>
      <c r="B352" s="121">
        <f t="shared" si="9"/>
        <v>1.0833333333333333</v>
      </c>
      <c r="C352">
        <v>27.4</v>
      </c>
      <c r="M352" s="125">
        <v>23.7877</v>
      </c>
      <c r="O352" s="95"/>
    </row>
    <row r="353" spans="1:15" ht="12.75" customHeight="1">
      <c r="A353" s="94" t="s">
        <v>707</v>
      </c>
      <c r="B353" s="121">
        <f t="shared" si="9"/>
        <v>1.1666666666666665</v>
      </c>
      <c r="C353">
        <v>24.4</v>
      </c>
      <c r="M353" s="125">
        <v>26.3653</v>
      </c>
      <c r="O353" s="95"/>
    </row>
    <row r="354" spans="1:15" ht="12.75" customHeight="1">
      <c r="A354" s="94" t="s">
        <v>708</v>
      </c>
      <c r="B354" s="121">
        <f t="shared" si="9"/>
        <v>1.2499999999999998</v>
      </c>
      <c r="C354">
        <v>25.6</v>
      </c>
      <c r="M354" s="125">
        <v>24.0317</v>
      </c>
      <c r="O354" s="95"/>
    </row>
    <row r="355" spans="1:15" ht="12.75" customHeight="1">
      <c r="A355" s="94" t="s">
        <v>709</v>
      </c>
      <c r="B355" s="121">
        <f t="shared" si="9"/>
        <v>1.333333333333333</v>
      </c>
      <c r="C355">
        <v>28.5</v>
      </c>
      <c r="M355" s="125">
        <v>23.7589</v>
      </c>
      <c r="O355" s="95"/>
    </row>
    <row r="356" spans="1:15" ht="12.75" customHeight="1">
      <c r="A356" s="94" t="s">
        <v>710</v>
      </c>
      <c r="B356" s="121">
        <f t="shared" si="9"/>
        <v>1.4166666666666663</v>
      </c>
      <c r="C356">
        <v>27.7</v>
      </c>
      <c r="M356" s="125">
        <v>28.9518</v>
      </c>
      <c r="O356" s="95"/>
    </row>
    <row r="357" spans="1:15" ht="12.75" customHeight="1">
      <c r="A357" s="94" t="s">
        <v>711</v>
      </c>
      <c r="B357" s="121">
        <f t="shared" si="9"/>
        <v>1.4999999999999996</v>
      </c>
      <c r="C357">
        <v>24.5</v>
      </c>
      <c r="M357" s="125">
        <v>28.3879</v>
      </c>
      <c r="O357" s="95"/>
    </row>
    <row r="358" spans="1:15" ht="12.75" customHeight="1">
      <c r="A358" s="94" t="s">
        <v>712</v>
      </c>
      <c r="B358" s="121">
        <f t="shared" si="9"/>
        <v>1.5833333333333328</v>
      </c>
      <c r="C358">
        <v>25.7</v>
      </c>
      <c r="M358" s="125">
        <v>20.5544</v>
      </c>
      <c r="O358" s="95"/>
    </row>
    <row r="359" spans="1:15" ht="12.75" customHeight="1">
      <c r="A359" s="94" t="s">
        <v>713</v>
      </c>
      <c r="B359" s="121">
        <f t="shared" si="9"/>
        <v>1.666666666666666</v>
      </c>
      <c r="C359">
        <v>25.5</v>
      </c>
      <c r="M359" s="125">
        <v>30.6603</v>
      </c>
      <c r="O359" s="95"/>
    </row>
    <row r="360" spans="1:15" ht="12.75" customHeight="1">
      <c r="A360" s="94" t="s">
        <v>714</v>
      </c>
      <c r="B360" s="121">
        <f t="shared" si="9"/>
        <v>1.7499999999999993</v>
      </c>
      <c r="C360">
        <v>20.5</v>
      </c>
      <c r="M360" s="125">
        <v>27.7892</v>
      </c>
      <c r="O360" s="95"/>
    </row>
    <row r="361" spans="1:15" ht="12.75" customHeight="1">
      <c r="A361" s="94" t="s">
        <v>715</v>
      </c>
      <c r="B361" s="121">
        <f t="shared" si="9"/>
        <v>1.8333333333333326</v>
      </c>
      <c r="C361">
        <v>18.9</v>
      </c>
      <c r="M361" s="125">
        <v>33.7641</v>
      </c>
      <c r="O361" s="95"/>
    </row>
    <row r="362" spans="1:15" ht="12.75" customHeight="1">
      <c r="A362" s="94" t="s">
        <v>716</v>
      </c>
      <c r="B362" s="121">
        <f t="shared" si="9"/>
        <v>1.9166666666666659</v>
      </c>
      <c r="C362">
        <v>18.6</v>
      </c>
      <c r="M362" s="125">
        <v>56.2782</v>
      </c>
      <c r="O362" s="95"/>
    </row>
    <row r="363" spans="1:13" ht="12.75" customHeight="1">
      <c r="A363" s="94" t="s">
        <v>717</v>
      </c>
      <c r="B363" s="121">
        <f t="shared" si="9"/>
        <v>1.9999999999999991</v>
      </c>
      <c r="C363">
        <v>19.9</v>
      </c>
      <c r="M363" s="125">
        <v>47.3621</v>
      </c>
    </row>
    <row r="364" spans="1:13" ht="12.75" customHeight="1">
      <c r="A364" s="94" t="s">
        <v>705</v>
      </c>
      <c r="B364" s="121">
        <f t="shared" si="9"/>
        <v>2.0833333333333326</v>
      </c>
      <c r="C364">
        <v>20.1</v>
      </c>
      <c r="M364" s="27">
        <v>21.1658</v>
      </c>
    </row>
    <row r="365" spans="1:13" ht="12.75" customHeight="1">
      <c r="A365" s="94" t="s">
        <v>718</v>
      </c>
      <c r="B365" s="121">
        <f t="shared" si="9"/>
        <v>2.166666666666666</v>
      </c>
      <c r="C365">
        <v>22.2</v>
      </c>
      <c r="M365" s="27">
        <v>23.1</v>
      </c>
    </row>
    <row r="366" spans="1:13" ht="12.75" customHeight="1">
      <c r="A366" s="94" t="s">
        <v>719</v>
      </c>
      <c r="B366" s="121">
        <f t="shared" si="9"/>
        <v>2.2499999999999996</v>
      </c>
      <c r="C366">
        <v>24.1</v>
      </c>
      <c r="M366" s="77">
        <v>29.1</v>
      </c>
    </row>
    <row r="367" spans="1:13" ht="12.75" customHeight="1">
      <c r="A367" s="94" t="s">
        <v>720</v>
      </c>
      <c r="B367" s="121">
        <f t="shared" si="9"/>
        <v>2.333333333333333</v>
      </c>
      <c r="C367">
        <v>26.4</v>
      </c>
      <c r="M367" s="77">
        <v>21</v>
      </c>
    </row>
    <row r="368" spans="1:13" ht="12.75" customHeight="1">
      <c r="A368" s="94" t="s">
        <v>721</v>
      </c>
      <c r="B368" s="121">
        <f t="shared" si="9"/>
        <v>2.4166666666666665</v>
      </c>
      <c r="C368" s="38">
        <v>22.8</v>
      </c>
      <c r="M368" s="77">
        <v>37</v>
      </c>
    </row>
    <row r="369" spans="1:13" ht="12.75" customHeight="1">
      <c r="A369" s="94" t="s">
        <v>722</v>
      </c>
      <c r="B369" s="121">
        <f t="shared" si="9"/>
        <v>2.5</v>
      </c>
      <c r="C369" s="38">
        <v>25.7</v>
      </c>
      <c r="M369" s="77">
        <v>57.9</v>
      </c>
    </row>
    <row r="370" spans="1:13" ht="12.75" customHeight="1">
      <c r="A370" s="94" t="s">
        <v>723</v>
      </c>
      <c r="B370" s="121">
        <f t="shared" si="9"/>
        <v>2.5833333333333335</v>
      </c>
      <c r="C370" s="38">
        <v>25.6</v>
      </c>
      <c r="M370" s="77">
        <v>34.7</v>
      </c>
    </row>
    <row r="371" spans="1:13" ht="12.75" customHeight="1">
      <c r="A371" s="94" t="s">
        <v>758</v>
      </c>
      <c r="B371" s="121">
        <f t="shared" si="9"/>
        <v>2.666666666666667</v>
      </c>
      <c r="C371" s="38">
        <v>28.5</v>
      </c>
      <c r="M371" s="77">
        <v>67.1</v>
      </c>
    </row>
    <row r="372" spans="1:13" ht="12.75" customHeight="1">
      <c r="A372" s="94" t="s">
        <v>756</v>
      </c>
      <c r="B372" s="121">
        <f aca="true" t="shared" si="10" ref="B372:B398">B371+1/12</f>
        <v>2.7500000000000004</v>
      </c>
      <c r="C372" s="38">
        <v>28.21</v>
      </c>
      <c r="M372" s="77">
        <v>34.82</v>
      </c>
    </row>
    <row r="373" spans="1:13" ht="12.75" customHeight="1">
      <c r="A373" s="94" t="s">
        <v>759</v>
      </c>
      <c r="B373" s="121">
        <f t="shared" si="10"/>
        <v>2.833333333333334</v>
      </c>
      <c r="C373" s="38">
        <v>23.94</v>
      </c>
      <c r="M373" s="77">
        <v>32.47740173339844</v>
      </c>
    </row>
    <row r="374" spans="1:13" ht="12.75" customHeight="1">
      <c r="A374" s="94" t="s">
        <v>760</v>
      </c>
      <c r="B374" s="121">
        <f t="shared" si="10"/>
        <v>2.9166666666666674</v>
      </c>
      <c r="C374" s="38">
        <v>27.23</v>
      </c>
      <c r="M374" s="77">
        <v>46.232200622558594</v>
      </c>
    </row>
    <row r="375" spans="1:13" ht="12.75" customHeight="1">
      <c r="A375" s="94" t="s">
        <v>761</v>
      </c>
      <c r="B375" s="121">
        <f t="shared" si="10"/>
        <v>3.000000000000001</v>
      </c>
      <c r="C375" s="38">
        <v>30.86</v>
      </c>
      <c r="M375" s="77">
        <v>50.49079895019531</v>
      </c>
    </row>
    <row r="376" spans="1:13" ht="12.75" customHeight="1">
      <c r="A376" s="94" t="s">
        <v>762</v>
      </c>
      <c r="B376" s="121">
        <f t="shared" si="10"/>
        <v>3.0833333333333344</v>
      </c>
      <c r="C376" s="38">
        <v>32.5</v>
      </c>
      <c r="M376" s="77">
        <v>45.55939865112305</v>
      </c>
    </row>
    <row r="377" spans="1:13" ht="12.75" customHeight="1">
      <c r="A377" s="94" t="s">
        <v>763</v>
      </c>
      <c r="B377" s="121">
        <f t="shared" si="10"/>
        <v>3.166666666666668</v>
      </c>
      <c r="C377" s="38">
        <v>33.79</v>
      </c>
      <c r="M377" s="77">
        <v>43.488800048828125</v>
      </c>
    </row>
    <row r="378" spans="1:13" ht="12.75" customHeight="1">
      <c r="A378" s="94" t="s">
        <v>764</v>
      </c>
      <c r="B378" s="121">
        <f t="shared" si="10"/>
        <v>3.2500000000000013</v>
      </c>
      <c r="C378" s="38">
        <v>24.23</v>
      </c>
      <c r="M378" s="77">
        <v>41.2765007019043</v>
      </c>
    </row>
    <row r="379" spans="1:13" ht="12.75" customHeight="1">
      <c r="A379" s="94" t="s">
        <v>765</v>
      </c>
      <c r="B379" s="121">
        <f t="shared" si="10"/>
        <v>3.333333333333335</v>
      </c>
      <c r="C379" s="38">
        <v>25.61</v>
      </c>
      <c r="M379" s="77">
        <v>33.610599517822266</v>
      </c>
    </row>
    <row r="380" spans="1:13" ht="12.75" customHeight="1">
      <c r="A380" s="94" t="s">
        <v>766</v>
      </c>
      <c r="B380" s="121">
        <f t="shared" si="10"/>
        <v>3.4166666666666683</v>
      </c>
      <c r="C380" s="38">
        <v>28.79</v>
      </c>
      <c r="M380" s="77">
        <v>60.85179901123047</v>
      </c>
    </row>
    <row r="381" spans="1:13" ht="12.75" customHeight="1">
      <c r="A381" s="94" t="s">
        <v>767</v>
      </c>
      <c r="B381" s="121">
        <f t="shared" si="10"/>
        <v>3.5000000000000018</v>
      </c>
      <c r="C381" s="38">
        <v>29.29</v>
      </c>
      <c r="M381" s="77">
        <v>57.35940170288086</v>
      </c>
    </row>
    <row r="382" spans="1:13" ht="12.75" customHeight="1">
      <c r="A382" s="94" t="s">
        <v>768</v>
      </c>
      <c r="B382" s="121">
        <f t="shared" si="10"/>
        <v>3.5833333333333353</v>
      </c>
      <c r="C382" s="38">
        <v>30.13</v>
      </c>
      <c r="M382" s="77">
        <v>181.81900024414062</v>
      </c>
    </row>
    <row r="383" spans="1:13" ht="12.75" customHeight="1">
      <c r="A383" s="94" t="s">
        <v>769</v>
      </c>
      <c r="B383" s="121">
        <f t="shared" si="10"/>
        <v>3.6666666666666687</v>
      </c>
      <c r="C383" s="38">
        <v>27.38</v>
      </c>
      <c r="M383" s="77">
        <v>40.79010009765625</v>
      </c>
    </row>
    <row r="384" spans="1:13" ht="12.75" customHeight="1">
      <c r="A384" s="94" t="s">
        <v>770</v>
      </c>
      <c r="B384" s="121">
        <f t="shared" si="10"/>
        <v>3.750000000000002</v>
      </c>
      <c r="C384" s="38">
        <v>30.98</v>
      </c>
      <c r="M384" s="77">
        <v>39.821800231933594</v>
      </c>
    </row>
    <row r="385" spans="1:13" ht="12.75" customHeight="1">
      <c r="A385" s="94" t="s">
        <v>771</v>
      </c>
      <c r="B385" s="121">
        <f t="shared" si="10"/>
        <v>3.8333333333333357</v>
      </c>
      <c r="C385" s="38">
        <v>28.95</v>
      </c>
      <c r="M385" s="77">
        <v>40.479698181152344</v>
      </c>
    </row>
    <row r="386" spans="1:13" ht="12.75" customHeight="1">
      <c r="A386" s="94" t="s">
        <v>772</v>
      </c>
      <c r="B386" s="121">
        <f t="shared" si="10"/>
        <v>3.916666666666669</v>
      </c>
      <c r="C386" s="38">
        <v>28.9</v>
      </c>
      <c r="M386" s="38">
        <v>49.76789855957031</v>
      </c>
    </row>
    <row r="387" spans="1:13" ht="12.75" customHeight="1">
      <c r="A387" s="94" t="s">
        <v>773</v>
      </c>
      <c r="B387" s="121">
        <f t="shared" si="10"/>
        <v>4.000000000000003</v>
      </c>
      <c r="C387" s="38"/>
      <c r="M387" s="77"/>
    </row>
    <row r="388" spans="1:13" ht="12.75" customHeight="1">
      <c r="A388" s="94" t="s">
        <v>774</v>
      </c>
      <c r="B388" s="121">
        <f t="shared" si="10"/>
        <v>4.083333333333336</v>
      </c>
      <c r="C388" s="38"/>
      <c r="M388" s="77"/>
    </row>
    <row r="389" spans="1:13" ht="12.75" customHeight="1">
      <c r="A389" s="94" t="s">
        <v>775</v>
      </c>
      <c r="B389" s="121">
        <f t="shared" si="10"/>
        <v>4.166666666666669</v>
      </c>
      <c r="C389" s="38"/>
      <c r="M389" s="77"/>
    </row>
    <row r="390" spans="1:13" ht="12.75" customHeight="1">
      <c r="A390" s="94" t="s">
        <v>776</v>
      </c>
      <c r="B390" s="121">
        <f t="shared" si="10"/>
        <v>4.250000000000002</v>
      </c>
      <c r="C390" s="38"/>
      <c r="M390" s="77"/>
    </row>
    <row r="391" spans="1:13" ht="12.75" customHeight="1">
      <c r="A391" s="94" t="s">
        <v>777</v>
      </c>
      <c r="B391" s="121">
        <f t="shared" si="10"/>
        <v>4.333333333333335</v>
      </c>
      <c r="C391" s="38"/>
      <c r="M391" s="77"/>
    </row>
    <row r="392" spans="1:13" ht="12.75" customHeight="1">
      <c r="A392" s="94" t="s">
        <v>900</v>
      </c>
      <c r="B392" s="121">
        <f t="shared" si="10"/>
        <v>4.416666666666668</v>
      </c>
      <c r="C392" s="38"/>
      <c r="M392" s="77"/>
    </row>
    <row r="393" spans="1:13" ht="12.75" customHeight="1">
      <c r="A393" s="94" t="s">
        <v>901</v>
      </c>
      <c r="B393" s="121">
        <f t="shared" si="10"/>
        <v>4.500000000000001</v>
      </c>
      <c r="C393" s="38"/>
      <c r="M393" s="77"/>
    </row>
    <row r="394" spans="1:13" ht="12.75" customHeight="1">
      <c r="A394" s="94" t="s">
        <v>902</v>
      </c>
      <c r="B394" s="121">
        <f t="shared" si="10"/>
        <v>4.583333333333334</v>
      </c>
      <c r="C394" s="38"/>
      <c r="M394" s="77"/>
    </row>
    <row r="395" spans="1:13" ht="12.75" customHeight="1">
      <c r="A395" s="136" t="s">
        <v>903</v>
      </c>
      <c r="B395" s="121">
        <f t="shared" si="10"/>
        <v>4.666666666666667</v>
      </c>
      <c r="C395" s="38"/>
      <c r="M395" s="77"/>
    </row>
    <row r="396" spans="1:13" ht="12.75" customHeight="1">
      <c r="A396" s="94" t="s">
        <v>904</v>
      </c>
      <c r="B396" s="121">
        <f t="shared" si="10"/>
        <v>4.75</v>
      </c>
      <c r="C396" s="38"/>
      <c r="M396" s="77"/>
    </row>
    <row r="397" spans="1:13" ht="12.75" customHeight="1">
      <c r="A397" s="136" t="s">
        <v>905</v>
      </c>
      <c r="B397" s="121">
        <f t="shared" si="10"/>
        <v>4.833333333333333</v>
      </c>
      <c r="C397" s="38"/>
      <c r="M397" s="77"/>
    </row>
    <row r="398" spans="1:13" ht="12.75" customHeight="1">
      <c r="A398" s="94" t="s">
        <v>906</v>
      </c>
      <c r="B398" s="121">
        <f t="shared" si="10"/>
        <v>4.916666666666666</v>
      </c>
      <c r="C398" s="38"/>
      <c r="M398" s="77"/>
    </row>
    <row r="399" spans="1:13" ht="12.75" customHeight="1">
      <c r="A399" s="94"/>
      <c r="C399" s="38"/>
      <c r="M399" s="77"/>
    </row>
    <row r="400" spans="1:13" ht="12.75" customHeight="1">
      <c r="A400" s="94"/>
      <c r="C400" s="38"/>
      <c r="M400" s="77"/>
    </row>
    <row r="401" spans="1:13" ht="12.75" customHeight="1">
      <c r="A401" s="94"/>
      <c r="C401" s="38"/>
      <c r="M401" s="77"/>
    </row>
    <row r="402" spans="1:13" ht="12.75" customHeight="1">
      <c r="A402" s="94"/>
      <c r="C402" s="38"/>
      <c r="M402" s="77"/>
    </row>
    <row r="403" spans="1:13" ht="12.75" customHeight="1">
      <c r="A403" s="94"/>
      <c r="C403" s="38"/>
      <c r="M403" s="77"/>
    </row>
    <row r="404" spans="1:14" ht="12.75" customHeight="1">
      <c r="A404" s="94" t="s">
        <v>780</v>
      </c>
      <c r="B404" s="133" t="s">
        <v>778</v>
      </c>
      <c r="M404" s="77"/>
      <c r="N404" t="s">
        <v>779</v>
      </c>
    </row>
    <row r="405" spans="1:13" ht="12.75" customHeight="1">
      <c r="A405" s="94"/>
      <c r="M405" s="77"/>
    </row>
    <row r="406" spans="1:13" ht="12.75" customHeight="1">
      <c r="A406" s="91" t="s">
        <v>636</v>
      </c>
      <c r="M406" s="77"/>
    </row>
    <row r="407" ht="12.75" customHeight="1">
      <c r="M407" s="77"/>
    </row>
    <row r="408" spans="1:13" ht="12.75" customHeight="1">
      <c r="A408" s="91" t="s">
        <v>637</v>
      </c>
      <c r="M408" s="77"/>
    </row>
    <row r="409" ht="12.75" customHeight="1">
      <c r="M409" s="77"/>
    </row>
    <row r="410" spans="1:13" ht="12.75" customHeight="1">
      <c r="A410" s="91" t="s">
        <v>638</v>
      </c>
      <c r="M410" s="39"/>
    </row>
    <row r="411" ht="12.75" customHeight="1">
      <c r="M411" s="39"/>
    </row>
    <row r="412" spans="1:13" ht="12.75" customHeight="1">
      <c r="A412" s="91" t="s">
        <v>639</v>
      </c>
      <c r="M412" s="39"/>
    </row>
    <row r="413" ht="12.75" customHeight="1">
      <c r="M413" s="39"/>
    </row>
    <row r="414" spans="1:13" ht="12.75" customHeight="1">
      <c r="A414" s="91" t="s">
        <v>640</v>
      </c>
      <c r="M414" s="39"/>
    </row>
    <row r="415" ht="12.75" customHeight="1">
      <c r="M415" s="39"/>
    </row>
    <row r="416" spans="1:13" ht="12.75" customHeight="1">
      <c r="A416" s="91" t="s">
        <v>641</v>
      </c>
      <c r="M416" s="39"/>
    </row>
    <row r="417" ht="12.75" customHeight="1">
      <c r="M417" s="39"/>
    </row>
    <row r="418" spans="1:13" ht="12.75" customHeight="1">
      <c r="A418" s="91" t="s">
        <v>642</v>
      </c>
      <c r="M418" s="39"/>
    </row>
    <row r="419" ht="12.75" customHeight="1">
      <c r="M419" s="39"/>
    </row>
    <row r="420" spans="1:13" ht="12.75" customHeight="1">
      <c r="A420" s="91" t="s">
        <v>643</v>
      </c>
      <c r="M420" s="39"/>
    </row>
    <row r="421" ht="12.75" customHeight="1">
      <c r="M421" s="39"/>
    </row>
    <row r="422" spans="1:13" ht="12.75" customHeight="1">
      <c r="A422" s="91" t="s">
        <v>644</v>
      </c>
      <c r="M422" s="39"/>
    </row>
    <row r="423" ht="12.75" customHeight="1">
      <c r="M423" s="39"/>
    </row>
    <row r="424" spans="1:13" ht="12.75" customHeight="1">
      <c r="A424" s="91" t="s">
        <v>645</v>
      </c>
      <c r="M424" s="39"/>
    </row>
    <row r="425" ht="12.75" customHeight="1">
      <c r="M425" s="39"/>
    </row>
    <row r="426" spans="1:13" ht="12.75" customHeight="1">
      <c r="A426" s="91" t="s">
        <v>646</v>
      </c>
      <c r="M426" s="39"/>
    </row>
    <row r="427" ht="12.75" customHeight="1">
      <c r="M427" s="39"/>
    </row>
    <row r="428" ht="12.75" customHeight="1">
      <c r="M428" s="39"/>
    </row>
    <row r="429" ht="12.75" customHeight="1">
      <c r="M429" s="39"/>
    </row>
    <row r="430" ht="12.75" customHeight="1">
      <c r="M430" s="39"/>
    </row>
    <row r="431" ht="12.75" customHeight="1">
      <c r="M431" s="39"/>
    </row>
    <row r="432" ht="12.75" customHeight="1">
      <c r="M432" s="39"/>
    </row>
    <row r="433" ht="12.75" customHeight="1">
      <c r="M433" s="39"/>
    </row>
    <row r="434" ht="12.75" customHeight="1">
      <c r="M434" s="39"/>
    </row>
    <row r="435" ht="12.75" customHeight="1">
      <c r="M435" s="39"/>
    </row>
  </sheetData>
  <hyperlinks>
    <hyperlink ref="B404" r:id="rId1" display="http://www.eia.doe.gov/emeu/international/crude1.html"/>
  </hyperlinks>
  <printOptions gridLines="1"/>
  <pageMargins left="0.75" right="0.75" top="1" bottom="1" header="0.511811023" footer="0.511811023"/>
  <pageSetup horizontalDpi="600" verticalDpi="600" orientation="portrait" paperSize="9" r:id="rId4"/>
  <headerFooter alignWithMargins="0">
    <oddHeader>&amp;C&amp;A</oddHeader>
    <oddFooter>&amp;CSeite &amp;P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" sqref="A1"/>
    </sheetView>
  </sheetViews>
  <sheetFormatPr defaultColWidth="11.421875" defaultRowHeight="12.75"/>
  <sheetData>
    <row r="1" ht="12.75">
      <c r="A1" t="s">
        <v>51</v>
      </c>
    </row>
    <row r="2" ht="12.75">
      <c r="A2" t="s">
        <v>52</v>
      </c>
    </row>
    <row r="3" spans="1:6" ht="12.75">
      <c r="A3" t="s">
        <v>53</v>
      </c>
      <c r="B3" t="s">
        <v>54</v>
      </c>
      <c r="C3" t="s">
        <v>55</v>
      </c>
      <c r="D3" t="s">
        <v>56</v>
      </c>
      <c r="E3" t="s">
        <v>57</v>
      </c>
      <c r="F3" t="s">
        <v>58</v>
      </c>
    </row>
    <row r="4" spans="2:6" ht="12.75">
      <c r="B4" t="s">
        <v>59</v>
      </c>
      <c r="C4" t="s">
        <v>60</v>
      </c>
      <c r="E4" t="s">
        <v>61</v>
      </c>
      <c r="F4" t="s">
        <v>62</v>
      </c>
    </row>
    <row r="5" spans="2:6" ht="12.75">
      <c r="B5">
        <v>1</v>
      </c>
      <c r="C5">
        <v>2</v>
      </c>
      <c r="D5" s="2" t="s">
        <v>63</v>
      </c>
      <c r="E5" t="s">
        <v>64</v>
      </c>
      <c r="F5" t="s">
        <v>65</v>
      </c>
    </row>
    <row r="6" spans="1:7" ht="12.75">
      <c r="A6" t="s">
        <v>66</v>
      </c>
      <c r="B6">
        <v>1973.9</v>
      </c>
      <c r="C6">
        <v>5514</v>
      </c>
      <c r="D6">
        <f aca="true" t="shared" si="0" ref="D6:D11">B6/C6</f>
        <v>0.35797968806673924</v>
      </c>
      <c r="E6" s="1">
        <f aca="true" t="shared" si="1" ref="E6:E11">D6/D$13</f>
        <v>2.8435266002464394</v>
      </c>
      <c r="F6">
        <v>4.96</v>
      </c>
      <c r="G6" s="13">
        <f aca="true" t="shared" si="2" ref="G6:G11">E6/F6</f>
        <v>0.5732916532754918</v>
      </c>
    </row>
    <row r="7" spans="1:7" ht="12.75">
      <c r="A7" t="s">
        <v>67</v>
      </c>
      <c r="B7">
        <v>435.7</v>
      </c>
      <c r="C7">
        <v>2960</v>
      </c>
      <c r="D7">
        <f t="shared" si="0"/>
        <v>0.14719594594594596</v>
      </c>
      <c r="E7" s="1">
        <f t="shared" si="1"/>
        <v>1.1692160245351735</v>
      </c>
      <c r="F7">
        <v>1.97</v>
      </c>
      <c r="G7" s="13">
        <f t="shared" si="2"/>
        <v>0.5935106723528799</v>
      </c>
    </row>
    <row r="8" spans="1:7" ht="12.75">
      <c r="A8" t="s">
        <v>68</v>
      </c>
      <c r="B8">
        <f>342.6-74.2</f>
        <v>268.40000000000003</v>
      </c>
      <c r="C8">
        <v>1499</v>
      </c>
      <c r="D8">
        <f t="shared" si="0"/>
        <v>0.17905270180120084</v>
      </c>
      <c r="E8" s="1">
        <f t="shared" si="1"/>
        <v>1.4222625958676947</v>
      </c>
      <c r="F8">
        <v>2.93</v>
      </c>
      <c r="G8" s="13">
        <f t="shared" si="2"/>
        <v>0.48541385524494696</v>
      </c>
    </row>
    <row r="9" spans="1:7" ht="12.75">
      <c r="A9" t="s">
        <v>69</v>
      </c>
      <c r="B9">
        <v>204.9</v>
      </c>
      <c r="C9">
        <v>1189</v>
      </c>
      <c r="D9">
        <f t="shared" si="0"/>
        <v>0.17232968881412952</v>
      </c>
      <c r="E9" s="1">
        <f t="shared" si="1"/>
        <v>1.3688599395164898</v>
      </c>
      <c r="F9">
        <v>2.73</v>
      </c>
      <c r="G9" s="13">
        <f t="shared" si="2"/>
        <v>0.5014138972587875</v>
      </c>
    </row>
    <row r="10" spans="1:7" ht="12.75">
      <c r="A10" t="s">
        <v>70</v>
      </c>
      <c r="B10">
        <v>155</v>
      </c>
      <c r="C10">
        <v>1090</v>
      </c>
      <c r="D10">
        <f t="shared" si="0"/>
        <v>0.14220183486238533</v>
      </c>
      <c r="E10" s="1">
        <f t="shared" si="1"/>
        <v>1.1295464896870324</v>
      </c>
      <c r="F10">
        <v>2.47</v>
      </c>
      <c r="G10" s="13">
        <f t="shared" si="2"/>
        <v>0.45730627112835315</v>
      </c>
    </row>
    <row r="11" spans="1:7" ht="12.75">
      <c r="A11" t="s">
        <v>71</v>
      </c>
      <c r="B11">
        <v>211</v>
      </c>
      <c r="C11">
        <v>982</v>
      </c>
      <c r="D11">
        <f t="shared" si="0"/>
        <v>0.21486761710794297</v>
      </c>
      <c r="E11" s="1">
        <f t="shared" si="1"/>
        <v>1.7067498663893343</v>
      </c>
      <c r="F11">
        <v>3.27</v>
      </c>
      <c r="G11" s="13">
        <f t="shared" si="2"/>
        <v>0.5219418551649341</v>
      </c>
    </row>
    <row r="12" spans="5:7" ht="12.75">
      <c r="E12" s="1"/>
      <c r="G12" s="13"/>
    </row>
    <row r="13" spans="1:7" ht="12.75">
      <c r="A13" s="12" t="s">
        <v>72</v>
      </c>
      <c r="B13" s="12">
        <v>28.2</v>
      </c>
      <c r="C13" s="12">
        <v>224</v>
      </c>
      <c r="D13" s="12">
        <f>B13/C13</f>
        <v>0.12589285714285714</v>
      </c>
      <c r="E13" s="14">
        <f>D13/D$13</f>
        <v>1</v>
      </c>
      <c r="F13" s="12">
        <v>2.04</v>
      </c>
      <c r="G13" s="15">
        <f>E13/F13</f>
        <v>0.49019607843137253</v>
      </c>
    </row>
    <row r="14" ht="12.75">
      <c r="A14" t="s">
        <v>73</v>
      </c>
    </row>
    <row r="15" ht="12.75">
      <c r="A15" t="s">
        <v>74</v>
      </c>
    </row>
    <row r="16" ht="12.75">
      <c r="A16" t="s">
        <v>75</v>
      </c>
    </row>
  </sheetData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1" sqref="F11"/>
    </sheetView>
  </sheetViews>
  <sheetFormatPr defaultColWidth="11.421875" defaultRowHeight="12.75"/>
  <cols>
    <col min="1" max="1" width="21.00390625" style="0" customWidth="1"/>
    <col min="2" max="2" width="13.28125" style="0" customWidth="1"/>
    <col min="6" max="6" width="12.7109375" style="0" customWidth="1"/>
  </cols>
  <sheetData>
    <row r="1" spans="2:9" ht="12.75">
      <c r="B1" s="44" t="s">
        <v>76</v>
      </c>
      <c r="C1" s="44"/>
      <c r="D1" s="44"/>
      <c r="E1" s="44"/>
      <c r="F1" s="44" t="s">
        <v>77</v>
      </c>
      <c r="G1" s="44"/>
      <c r="H1" s="44"/>
      <c r="I1" s="44"/>
    </row>
    <row r="2" spans="2:9" ht="12.75">
      <c r="B2" t="s">
        <v>78</v>
      </c>
      <c r="C2" t="s">
        <v>79</v>
      </c>
      <c r="D2" t="s">
        <v>80</v>
      </c>
      <c r="E2" t="s">
        <v>81</v>
      </c>
      <c r="F2" t="str">
        <f>B2</f>
        <v>Elektrizität</v>
      </c>
      <c r="G2" t="str">
        <f>C2</f>
        <v>Gas</v>
      </c>
      <c r="H2" t="str">
        <f>D2</f>
        <v>Wasser</v>
      </c>
      <c r="I2" t="str">
        <f>E2</f>
        <v>Fernwärme</v>
      </c>
    </row>
    <row r="4" spans="1:7" ht="12.75">
      <c r="A4" t="s">
        <v>82</v>
      </c>
      <c r="B4">
        <v>1344</v>
      </c>
      <c r="C4">
        <v>0</v>
      </c>
      <c r="F4">
        <v>1863</v>
      </c>
      <c r="G4">
        <v>0</v>
      </c>
    </row>
    <row r="5" spans="1:6" ht="12.75">
      <c r="A5" t="s">
        <v>83</v>
      </c>
      <c r="B5">
        <v>89670</v>
      </c>
      <c r="C5">
        <v>0</v>
      </c>
      <c r="F5">
        <v>130390</v>
      </c>
    </row>
    <row r="6" spans="1:6" ht="12.75">
      <c r="A6" t="s">
        <v>84</v>
      </c>
      <c r="B6" s="11">
        <f>B5*277.8</f>
        <v>24910326</v>
      </c>
      <c r="F6" s="11">
        <f>F5*277.8</f>
        <v>36222342</v>
      </c>
    </row>
    <row r="7" spans="1:6" ht="12.75">
      <c r="A7" t="s">
        <v>85</v>
      </c>
      <c r="B7" s="13">
        <v>0.0595</v>
      </c>
      <c r="F7" s="13">
        <v>0.0554</v>
      </c>
    </row>
    <row r="8" spans="1:6" ht="12.75">
      <c r="A8" t="s">
        <v>86</v>
      </c>
      <c r="B8" s="11">
        <f>B4*1000000/B5</f>
        <v>14988.290398126464</v>
      </c>
      <c r="F8" s="11">
        <f>F4*1000000/F5</f>
        <v>14287.905514226552</v>
      </c>
    </row>
    <row r="10" spans="1:7" ht="12.75">
      <c r="A10" t="s">
        <v>87</v>
      </c>
      <c r="B10">
        <v>1051</v>
      </c>
      <c r="C10">
        <v>491</v>
      </c>
      <c r="F10">
        <v>1281</v>
      </c>
      <c r="G10">
        <v>457</v>
      </c>
    </row>
    <row r="11" spans="1:7" ht="12.75">
      <c r="A11" t="s">
        <v>88</v>
      </c>
      <c r="B11">
        <v>82080</v>
      </c>
      <c r="C11">
        <v>75760</v>
      </c>
      <c r="F11">
        <v>104210</v>
      </c>
      <c r="G11">
        <v>102140</v>
      </c>
    </row>
    <row r="12" spans="1:7" ht="12.75">
      <c r="A12" t="s">
        <v>89</v>
      </c>
      <c r="B12" s="11">
        <f>B11*277.8</f>
        <v>22801824</v>
      </c>
      <c r="C12" s="11">
        <f>C11*277.8</f>
        <v>21046128</v>
      </c>
      <c r="F12" s="11">
        <f>F11*277.8</f>
        <v>28949538</v>
      </c>
      <c r="G12" s="11">
        <f>G11*277.8</f>
        <v>28374492</v>
      </c>
    </row>
    <row r="13" spans="1:6" ht="12.75">
      <c r="A13" t="s">
        <v>85</v>
      </c>
      <c r="B13" s="13">
        <v>0.0524</v>
      </c>
      <c r="F13" s="13">
        <v>0.0456</v>
      </c>
    </row>
    <row r="14" spans="1:7" ht="12.75">
      <c r="A14" t="s">
        <v>86</v>
      </c>
      <c r="B14" s="11">
        <f>B10*1000000/B11</f>
        <v>12804.58089668616</v>
      </c>
      <c r="C14" s="11">
        <f>C10*1000000/C11</f>
        <v>6480.992608236536</v>
      </c>
      <c r="F14" s="11">
        <f>F10*1000000/F11</f>
        <v>12292.486325688513</v>
      </c>
      <c r="G14" s="11">
        <f>G10*1000000/G11</f>
        <v>4474.251028000784</v>
      </c>
    </row>
    <row r="15" spans="1:7" ht="12.75">
      <c r="A15" t="s">
        <v>657</v>
      </c>
      <c r="B15" s="108">
        <f>B10*10^6/B12</f>
        <v>46.092803803765875</v>
      </c>
      <c r="C15" s="108">
        <f>C10*10^6/C12</f>
        <v>23.329707013090484</v>
      </c>
      <c r="F15" s="108">
        <f>F10*10^6/F12</f>
        <v>44.24941081961308</v>
      </c>
      <c r="G15" s="108">
        <f>G10*10^6/G12</f>
        <v>16.106015219585252</v>
      </c>
    </row>
    <row r="16" spans="1:9" ht="12.75">
      <c r="A16" t="s">
        <v>90</v>
      </c>
      <c r="B16">
        <v>54750</v>
      </c>
      <c r="C16">
        <v>27560</v>
      </c>
      <c r="E16">
        <v>1980</v>
      </c>
      <c r="F16">
        <v>49300</v>
      </c>
      <c r="G16">
        <v>40510</v>
      </c>
      <c r="I16">
        <v>2820</v>
      </c>
    </row>
    <row r="17" spans="1:9" ht="12.75">
      <c r="A17" t="s">
        <v>91</v>
      </c>
      <c r="B17">
        <v>56090</v>
      </c>
      <c r="C17">
        <v>14450</v>
      </c>
      <c r="E17">
        <v>4000</v>
      </c>
      <c r="F17">
        <v>61460</v>
      </c>
      <c r="G17">
        <v>17390</v>
      </c>
      <c r="I17">
        <v>4300</v>
      </c>
    </row>
    <row r="18" spans="1:9" ht="12.75">
      <c r="A18" t="s">
        <v>92</v>
      </c>
      <c r="B18">
        <v>9260</v>
      </c>
      <c r="C18">
        <v>0</v>
      </c>
      <c r="E18">
        <v>0</v>
      </c>
      <c r="F18">
        <v>8760</v>
      </c>
      <c r="G18">
        <v>0</v>
      </c>
      <c r="I18">
        <v>0</v>
      </c>
    </row>
    <row r="19" spans="1:9" ht="12.75">
      <c r="A19" t="s">
        <v>93</v>
      </c>
      <c r="B19">
        <v>47570</v>
      </c>
      <c r="C19">
        <v>28470</v>
      </c>
      <c r="E19">
        <v>4440</v>
      </c>
      <c r="F19">
        <v>52860</v>
      </c>
      <c r="G19">
        <v>37640</v>
      </c>
      <c r="I19">
        <v>4850</v>
      </c>
    </row>
    <row r="20" spans="1:6" ht="12.75">
      <c r="A20" t="s">
        <v>94</v>
      </c>
      <c r="B20" s="11">
        <f>B19*277800</f>
        <v>13214946000</v>
      </c>
      <c r="F20" s="11">
        <f>F19*277800</f>
        <v>14684508000</v>
      </c>
    </row>
    <row r="21" spans="1:6" ht="12.75">
      <c r="A21" t="s">
        <v>95</v>
      </c>
      <c r="B21" s="11">
        <f>B20*10^-6</f>
        <v>13214.946</v>
      </c>
      <c r="F21" s="11">
        <f>F20*10^-6</f>
        <v>14684.508</v>
      </c>
    </row>
    <row r="22" spans="1:6" ht="12.75">
      <c r="A22" t="s">
        <v>96</v>
      </c>
      <c r="B22" s="38">
        <f>B20*0.1444*10^-6</f>
        <v>1908.2382024</v>
      </c>
      <c r="F22" s="38">
        <f>F20*0.1702*10^-6</f>
        <v>2499.3032615999996</v>
      </c>
    </row>
    <row r="23" spans="1:6" ht="12.75">
      <c r="A23" t="s">
        <v>97</v>
      </c>
      <c r="B23">
        <v>6726</v>
      </c>
      <c r="F23">
        <v>8152</v>
      </c>
    </row>
    <row r="25" ht="12.75">
      <c r="A25" t="s">
        <v>98</v>
      </c>
    </row>
    <row r="26" spans="1:6" ht="12.75">
      <c r="A26" s="24" t="s">
        <v>99</v>
      </c>
      <c r="B26">
        <v>0.1444</v>
      </c>
      <c r="F26">
        <v>0.1702</v>
      </c>
    </row>
    <row r="30" spans="2:6" ht="12.75">
      <c r="B30">
        <f>B13/B15</f>
        <v>0.0011368368959086585</v>
      </c>
      <c r="F30">
        <f>F13/F15</f>
        <v>0.0010305221957845434</v>
      </c>
    </row>
    <row r="31" spans="2:6" ht="12.75">
      <c r="B31">
        <f>1/B30</f>
        <v>879.6336603772113</v>
      </c>
      <c r="F31">
        <f>1/F30</f>
        <v>970.3818162195851</v>
      </c>
    </row>
  </sheetData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BD94"/>
  <sheetViews>
    <sheetView workbookViewId="0" topLeftCell="A1">
      <pane xSplit="3" ySplit="4" topLeftCell="AW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Z12" sqref="AZ12"/>
    </sheetView>
  </sheetViews>
  <sheetFormatPr defaultColWidth="11.421875" defaultRowHeight="12.75"/>
  <cols>
    <col min="1" max="1" width="7.421875" style="19" customWidth="1"/>
    <col min="2" max="2" width="4.00390625" style="19" customWidth="1"/>
    <col min="3" max="3" width="13.7109375" style="19" customWidth="1"/>
    <col min="4" max="17" width="11.57421875" style="19" customWidth="1"/>
    <col min="18" max="18" width="11.8515625" style="19" customWidth="1"/>
    <col min="19" max="53" width="11.57421875" style="19" customWidth="1"/>
    <col min="54" max="54" width="19.8515625" style="19" customWidth="1"/>
    <col min="55" max="16384" width="11.57421875" style="19" customWidth="1"/>
  </cols>
  <sheetData>
    <row r="1" ht="12.75"/>
    <row r="2" spans="1:45" ht="15">
      <c r="A2" s="40" t="s">
        <v>100</v>
      </c>
      <c r="D2" s="16">
        <v>1</v>
      </c>
      <c r="E2" s="16">
        <v>2</v>
      </c>
      <c r="F2" s="16">
        <v>3</v>
      </c>
      <c r="G2" s="16">
        <v>4</v>
      </c>
      <c r="H2" s="16">
        <v>5</v>
      </c>
      <c r="I2" s="16">
        <v>6</v>
      </c>
      <c r="J2" s="16">
        <v>7</v>
      </c>
      <c r="K2" s="16">
        <v>8</v>
      </c>
      <c r="L2" s="16">
        <v>9</v>
      </c>
      <c r="M2" s="16">
        <v>10</v>
      </c>
      <c r="N2" s="16">
        <v>11</v>
      </c>
      <c r="O2" s="16">
        <v>12</v>
      </c>
      <c r="P2" s="16">
        <v>13</v>
      </c>
      <c r="Q2" s="16">
        <v>14</v>
      </c>
      <c r="R2" s="16">
        <v>15</v>
      </c>
      <c r="S2" s="16">
        <v>16</v>
      </c>
      <c r="T2" s="16">
        <v>17</v>
      </c>
      <c r="U2" s="16">
        <v>18</v>
      </c>
      <c r="V2" s="16">
        <v>19</v>
      </c>
      <c r="W2" s="16">
        <v>20</v>
      </c>
      <c r="X2" s="16">
        <v>21</v>
      </c>
      <c r="Y2" s="16">
        <v>22</v>
      </c>
      <c r="Z2" s="16">
        <v>23</v>
      </c>
      <c r="AA2" s="16">
        <v>24</v>
      </c>
      <c r="AB2" s="16">
        <v>25</v>
      </c>
      <c r="AC2" s="16">
        <v>26</v>
      </c>
      <c r="AD2" s="16">
        <v>27</v>
      </c>
      <c r="AE2" s="16">
        <v>28</v>
      </c>
      <c r="AF2" s="16">
        <v>29</v>
      </c>
      <c r="AG2" s="16">
        <v>30</v>
      </c>
      <c r="AH2" s="16">
        <v>31</v>
      </c>
      <c r="AI2" s="16">
        <v>32</v>
      </c>
      <c r="AJ2" s="16">
        <v>33</v>
      </c>
      <c r="AK2" s="16">
        <v>34</v>
      </c>
      <c r="AL2" s="16">
        <v>35</v>
      </c>
      <c r="AM2" s="16">
        <v>36</v>
      </c>
      <c r="AN2" s="16">
        <v>37</v>
      </c>
      <c r="AO2" s="16">
        <v>38</v>
      </c>
      <c r="AP2" s="16">
        <v>39</v>
      </c>
      <c r="AQ2" s="16">
        <v>40</v>
      </c>
      <c r="AR2" s="16">
        <v>41</v>
      </c>
      <c r="AS2" s="16">
        <v>42</v>
      </c>
    </row>
    <row r="3" spans="1:56" ht="15">
      <c r="A3" s="40" t="s">
        <v>101</v>
      </c>
      <c r="C3" s="20"/>
      <c r="D3" s="17" t="s">
        <v>102</v>
      </c>
      <c r="E3" s="17" t="s">
        <v>78</v>
      </c>
      <c r="F3" s="17" t="s">
        <v>79</v>
      </c>
      <c r="G3" s="17" t="s">
        <v>80</v>
      </c>
      <c r="H3" s="17" t="s">
        <v>103</v>
      </c>
      <c r="I3" s="17" t="s">
        <v>104</v>
      </c>
      <c r="J3" s="17" t="s">
        <v>105</v>
      </c>
      <c r="K3" s="17" t="s">
        <v>106</v>
      </c>
      <c r="L3" s="17" t="s">
        <v>107</v>
      </c>
      <c r="M3" s="17" t="s">
        <v>108</v>
      </c>
      <c r="N3" s="17" t="s">
        <v>109</v>
      </c>
      <c r="O3" s="17" t="s">
        <v>110</v>
      </c>
      <c r="P3" s="17" t="s">
        <v>111</v>
      </c>
      <c r="Q3" s="17" t="s">
        <v>112</v>
      </c>
      <c r="R3" s="17" t="s">
        <v>113</v>
      </c>
      <c r="S3" s="17" t="s">
        <v>114</v>
      </c>
      <c r="T3" s="17" t="s">
        <v>115</v>
      </c>
      <c r="U3" s="17" t="s">
        <v>116</v>
      </c>
      <c r="V3" s="17" t="s">
        <v>117</v>
      </c>
      <c r="W3" s="17" t="s">
        <v>118</v>
      </c>
      <c r="X3" s="17" t="s">
        <v>119</v>
      </c>
      <c r="Y3" s="17" t="s">
        <v>120</v>
      </c>
      <c r="Z3" s="17" t="s">
        <v>121</v>
      </c>
      <c r="AA3" s="17" t="s">
        <v>122</v>
      </c>
      <c r="AB3" s="17" t="s">
        <v>123</v>
      </c>
      <c r="AC3" s="17" t="s">
        <v>124</v>
      </c>
      <c r="AD3" s="17" t="s">
        <v>125</v>
      </c>
      <c r="AE3" s="17" t="s">
        <v>126</v>
      </c>
      <c r="AF3" s="17" t="s">
        <v>127</v>
      </c>
      <c r="AG3" s="17" t="s">
        <v>128</v>
      </c>
      <c r="AH3" s="17" t="s">
        <v>129</v>
      </c>
      <c r="AI3" s="17" t="s">
        <v>130</v>
      </c>
      <c r="AJ3" s="17" t="s">
        <v>131</v>
      </c>
      <c r="AK3" s="17" t="s">
        <v>132</v>
      </c>
      <c r="AL3" s="17" t="s">
        <v>133</v>
      </c>
      <c r="AM3" s="17" t="s">
        <v>134</v>
      </c>
      <c r="AN3" s="17" t="s">
        <v>135</v>
      </c>
      <c r="AO3" s="17" t="s">
        <v>136</v>
      </c>
      <c r="AP3" s="17" t="s">
        <v>137</v>
      </c>
      <c r="AQ3" s="17" t="s">
        <v>138</v>
      </c>
      <c r="AR3" s="17" t="s">
        <v>139</v>
      </c>
      <c r="AS3" s="17" t="s">
        <v>140</v>
      </c>
      <c r="AT3" s="21" t="s">
        <v>141</v>
      </c>
      <c r="AU3" s="19" t="s">
        <v>142</v>
      </c>
      <c r="AV3" s="19" t="s">
        <v>143</v>
      </c>
      <c r="AW3" s="19" t="s">
        <v>144</v>
      </c>
      <c r="AX3" s="20" t="s">
        <v>145</v>
      </c>
      <c r="AY3" s="19" t="s">
        <v>146</v>
      </c>
      <c r="AZ3" s="19" t="s">
        <v>147</v>
      </c>
      <c r="BA3" s="19" t="s">
        <v>148</v>
      </c>
      <c r="BC3" s="19" t="s">
        <v>146</v>
      </c>
      <c r="BD3" s="19" t="s">
        <v>146</v>
      </c>
    </row>
    <row r="4" spans="1:56" ht="12.75">
      <c r="A4" s="33">
        <v>1990</v>
      </c>
      <c r="AV4" s="19" t="s">
        <v>149</v>
      </c>
      <c r="AX4" s="20" t="s">
        <v>150</v>
      </c>
      <c r="BA4" s="19" t="s">
        <v>151</v>
      </c>
      <c r="BC4" s="19" t="s">
        <v>680</v>
      </c>
      <c r="BD4" s="19" t="s">
        <v>681</v>
      </c>
    </row>
    <row r="5" spans="1:50" ht="15">
      <c r="A5" s="40" t="s">
        <v>152</v>
      </c>
      <c r="E5" s="24"/>
      <c r="AX5" s="20"/>
    </row>
    <row r="6" spans="1:50" ht="12.75">
      <c r="A6" t="s">
        <v>153</v>
      </c>
      <c r="C6" s="19" t="s">
        <v>154</v>
      </c>
      <c r="D6" s="24">
        <v>187015</v>
      </c>
      <c r="E6" s="24">
        <f>17655+25156-24901+230</f>
        <v>18140</v>
      </c>
      <c r="F6" s="24">
        <f>(657+1053+5536)*0.4</f>
        <v>2898.4</v>
      </c>
      <c r="G6" s="24">
        <f>(657+1053+5536)*0.6</f>
        <v>4347.599999999999</v>
      </c>
      <c r="H6" s="24">
        <v>474</v>
      </c>
      <c r="I6" s="24">
        <v>57091</v>
      </c>
      <c r="J6" s="24">
        <v>8000</v>
      </c>
      <c r="K6" s="24">
        <v>3330</v>
      </c>
      <c r="L6" s="24">
        <v>24061</v>
      </c>
      <c r="M6" s="24">
        <v>19956</v>
      </c>
      <c r="N6" s="24">
        <v>6810</v>
      </c>
      <c r="O6" s="24">
        <v>59965</v>
      </c>
      <c r="P6" s="24">
        <v>16273</v>
      </c>
      <c r="Q6" s="24">
        <v>63275</v>
      </c>
      <c r="R6" s="24">
        <v>6668</v>
      </c>
      <c r="S6" s="24">
        <v>77455</v>
      </c>
      <c r="T6" s="24">
        <v>24955</v>
      </c>
      <c r="U6" s="24">
        <v>32789</v>
      </c>
      <c r="V6" s="24">
        <v>100050</v>
      </c>
      <c r="W6" s="24">
        <v>220728</v>
      </c>
      <c r="X6" s="24">
        <v>196484</v>
      </c>
      <c r="Y6" s="24">
        <v>201323</v>
      </c>
      <c r="Z6" s="24">
        <v>150406</v>
      </c>
      <c r="AA6" s="24">
        <v>197595</v>
      </c>
      <c r="AB6" s="24">
        <v>304664</v>
      </c>
      <c r="AC6" s="24">
        <v>211223</v>
      </c>
      <c r="AD6" s="24">
        <f>47394+2934</f>
        <v>50328</v>
      </c>
      <c r="AE6" s="24">
        <f>9097+1756+883</f>
        <v>11736</v>
      </c>
      <c r="AF6" s="24">
        <f>1846+5669+31675+585+23050*0.66</f>
        <v>54988</v>
      </c>
      <c r="AG6" s="24">
        <f>26822+48+39+23050*0.33</f>
        <v>34515.5</v>
      </c>
      <c r="AH6" s="24">
        <v>68781</v>
      </c>
      <c r="AI6" s="24">
        <v>127057</v>
      </c>
      <c r="AJ6" s="24">
        <v>55368</v>
      </c>
      <c r="AK6" s="24">
        <v>16096</v>
      </c>
      <c r="AL6" s="24">
        <v>337994</v>
      </c>
      <c r="AM6" s="24">
        <v>178976</v>
      </c>
      <c r="AN6" s="24">
        <v>186887</v>
      </c>
      <c r="AO6" s="24">
        <v>17486</v>
      </c>
      <c r="AP6" s="24">
        <v>118492</v>
      </c>
      <c r="AQ6" s="24">
        <v>6014</v>
      </c>
      <c r="AS6" s="11"/>
      <c r="AT6" s="63">
        <f>SUM(D6:AS6)</f>
        <v>3460694.5</v>
      </c>
      <c r="AX6" s="12"/>
    </row>
    <row r="7" spans="1:51" ht="12.75">
      <c r="A7" s="19" t="s">
        <v>155</v>
      </c>
      <c r="C7" s="19" t="s">
        <v>156</v>
      </c>
      <c r="D7" s="27">
        <v>8082.2</v>
      </c>
      <c r="E7" s="28">
        <v>6540.9</v>
      </c>
      <c r="F7" s="28"/>
      <c r="G7" s="28"/>
      <c r="H7" s="27">
        <v>62.3</v>
      </c>
      <c r="I7" s="27">
        <v>4530.520342733636</v>
      </c>
      <c r="J7" s="27">
        <v>1182.2094657611742</v>
      </c>
      <c r="K7" s="27">
        <v>1611.5734618658198</v>
      </c>
      <c r="L7" s="27">
        <v>1532.5725994716604</v>
      </c>
      <c r="M7" s="27">
        <v>1077.8063032086584</v>
      </c>
      <c r="N7" s="27">
        <v>431.1</v>
      </c>
      <c r="O7" s="27">
        <v>3647.5</v>
      </c>
      <c r="P7" s="27">
        <v>1570.087329534998</v>
      </c>
      <c r="Q7" s="27">
        <v>5449.441202358658</v>
      </c>
      <c r="R7" s="27">
        <v>359.57112408425434</v>
      </c>
      <c r="S7" s="27">
        <v>9796.898781455158</v>
      </c>
      <c r="T7" s="27">
        <v>2188.6510792998192</v>
      </c>
      <c r="U7" s="27">
        <v>3364.0570363566558</v>
      </c>
      <c r="V7" s="27">
        <v>8191.702347785898</v>
      </c>
      <c r="W7" s="27">
        <v>18382.67657131311</v>
      </c>
      <c r="X7" s="27">
        <v>17520.6468789753</v>
      </c>
      <c r="Y7" s="27">
        <v>15906.255679774478</v>
      </c>
      <c r="Z7" s="27">
        <v>10981.733522198903</v>
      </c>
      <c r="AA7" s="27">
        <v>20452.21394329421</v>
      </c>
      <c r="AB7" s="27">
        <v>21274.47463938583</v>
      </c>
      <c r="AC7" s="27">
        <v>9685.12166451858</v>
      </c>
      <c r="AD7" s="27">
        <f>3282.3+259.4</f>
        <v>3541.7000000000003</v>
      </c>
      <c r="AE7" s="27">
        <v>459</v>
      </c>
      <c r="AF7" s="28">
        <v>8535.7</v>
      </c>
      <c r="AG7" s="28"/>
      <c r="AH7" s="27">
        <v>6927.7</v>
      </c>
      <c r="AI7" s="27">
        <f>24597.9-12162</f>
        <v>12435.900000000001</v>
      </c>
      <c r="AJ7" s="27">
        <v>3996.2699831058862</v>
      </c>
      <c r="AK7" s="27">
        <v>25037.244600000005</v>
      </c>
      <c r="AL7" s="27">
        <v>22143.04029282885</v>
      </c>
      <c r="AM7" s="27">
        <v>3710.688272455721</v>
      </c>
      <c r="AN7" s="27">
        <v>6594.49424093504</v>
      </c>
      <c r="AO7" s="27">
        <v>7302.15917417277</v>
      </c>
      <c r="AP7" s="27">
        <v>37464.56532492567</v>
      </c>
      <c r="AQ7" s="27">
        <v>1208.8193312896506</v>
      </c>
      <c r="AR7" s="27"/>
      <c r="AS7" s="27">
        <f>324882.5-312663.5</f>
        <v>12219</v>
      </c>
      <c r="AT7" s="65">
        <f>SUM(D7:AS7)</f>
        <v>325398.49519309046</v>
      </c>
      <c r="AX7" s="20"/>
      <c r="AY7" s="20"/>
    </row>
    <row r="8" spans="1:51" ht="12.75">
      <c r="A8" s="19" t="s">
        <v>155</v>
      </c>
      <c r="C8" s="19" t="s">
        <v>157</v>
      </c>
      <c r="D8" s="27">
        <v>13707.3999999999</v>
      </c>
      <c r="E8" s="28">
        <v>11419.1</v>
      </c>
      <c r="F8" s="28"/>
      <c r="G8" s="28"/>
      <c r="H8" s="27">
        <v>957.2</v>
      </c>
      <c r="I8" s="27">
        <v>20863.79044273363</v>
      </c>
      <c r="J8" s="27">
        <v>3120.27626576117</v>
      </c>
      <c r="K8" s="27">
        <v>2640.395661865819</v>
      </c>
      <c r="L8" s="27">
        <v>3959.247299471655</v>
      </c>
      <c r="M8" s="27">
        <v>2567.0104032086565</v>
      </c>
      <c r="N8" s="27">
        <v>959.7</v>
      </c>
      <c r="O8" s="27">
        <v>8205.6</v>
      </c>
      <c r="P8" s="27">
        <v>4620.9400295349915</v>
      </c>
      <c r="Q8" s="27">
        <v>11573.718102358647</v>
      </c>
      <c r="R8" s="27">
        <v>832.0122240842537</v>
      </c>
      <c r="S8" s="27">
        <v>26671.25848145515</v>
      </c>
      <c r="T8" s="27">
        <v>5351.741479299815</v>
      </c>
      <c r="U8" s="27">
        <v>7751.16043635665</v>
      </c>
      <c r="V8" s="27">
        <v>22207.256247785885</v>
      </c>
      <c r="W8" s="27">
        <v>45270.68697131305</v>
      </c>
      <c r="X8" s="27">
        <v>46417.47097897525</v>
      </c>
      <c r="Y8" s="27">
        <v>28602.17777977445</v>
      </c>
      <c r="Z8" s="27">
        <v>21013.94582219888</v>
      </c>
      <c r="AA8" s="27">
        <v>32155.27654329418</v>
      </c>
      <c r="AB8" s="27">
        <v>28584.027239385807</v>
      </c>
      <c r="AC8" s="27">
        <v>20699.625164518562</v>
      </c>
      <c r="AD8" s="27">
        <f>4936.7+404.6</f>
        <v>5341.3</v>
      </c>
      <c r="AE8" s="27">
        <v>1023</v>
      </c>
      <c r="AF8" s="28">
        <v>10034.34978591304</v>
      </c>
      <c r="AG8" s="28">
        <v>6088</v>
      </c>
      <c r="AH8" s="58">
        <v>10303.9</v>
      </c>
      <c r="AI8" s="27">
        <f>32298.3-12162</f>
        <v>20136.3</v>
      </c>
      <c r="AJ8" s="27">
        <v>8252.016583105871</v>
      </c>
      <c r="AK8" s="27">
        <v>35486.03399999998</v>
      </c>
      <c r="AL8" s="27">
        <v>42117.34739282882</v>
      </c>
      <c r="AM8" s="27">
        <v>6743.794672455715</v>
      </c>
      <c r="AN8" s="27">
        <v>10157.271240935037</v>
      </c>
      <c r="AO8" s="27">
        <v>10845.681874172762</v>
      </c>
      <c r="AP8" s="27">
        <v>52645.59132492564</v>
      </c>
      <c r="AQ8" s="27">
        <v>2982.2206312896474</v>
      </c>
      <c r="AR8" s="27"/>
      <c r="AS8" s="27">
        <f>602984.7-592307.8</f>
        <v>10676.899999999907</v>
      </c>
      <c r="AT8" s="65">
        <f>SUM(D8:AS8)</f>
        <v>602984.7250790029</v>
      </c>
      <c r="AX8" s="20"/>
      <c r="AY8" s="20"/>
    </row>
    <row r="9" spans="1:51" ht="12.75">
      <c r="A9" s="19" t="s">
        <v>155</v>
      </c>
      <c r="C9" s="19" t="s">
        <v>158</v>
      </c>
      <c r="D9" s="54">
        <v>194.88643056801146</v>
      </c>
      <c r="E9" s="54">
        <v>0.6297433646117622</v>
      </c>
      <c r="F9" s="54">
        <v>0.04976392050305782</v>
      </c>
      <c r="G9" s="54">
        <v>0.053342837363817494</v>
      </c>
      <c r="H9" s="54">
        <v>1.5135744450503223</v>
      </c>
      <c r="I9" s="54">
        <v>152.3428768141973</v>
      </c>
      <c r="J9" s="54">
        <v>1.0095480042452791</v>
      </c>
      <c r="K9" s="54">
        <v>0.5101854438924982</v>
      </c>
      <c r="L9" s="54">
        <v>6.617239229055466</v>
      </c>
      <c r="M9" s="54">
        <v>0.43752099941867734</v>
      </c>
      <c r="N9" s="54">
        <v>48.82548756778399</v>
      </c>
      <c r="O9" s="54">
        <v>52.46605235455391</v>
      </c>
      <c r="P9" s="54">
        <v>5.582320441743782</v>
      </c>
      <c r="Q9" s="54">
        <v>5.1693581998371165</v>
      </c>
      <c r="R9" s="54">
        <v>3.5871800796102153</v>
      </c>
      <c r="S9" s="54">
        <v>46.105745542550245</v>
      </c>
      <c r="T9" s="54">
        <v>9.55318614354185</v>
      </c>
      <c r="U9" s="54">
        <v>12.362818958248196</v>
      </c>
      <c r="V9" s="54">
        <v>147.49127675506423</v>
      </c>
      <c r="W9" s="54">
        <v>142.43597220661817</v>
      </c>
      <c r="X9" s="54">
        <v>66.49115034980782</v>
      </c>
      <c r="Y9" s="54">
        <v>546.7220298079004</v>
      </c>
      <c r="Z9" s="54">
        <v>361.7913022643294</v>
      </c>
      <c r="AA9" s="54">
        <v>543.172539934094</v>
      </c>
      <c r="AB9" s="54">
        <v>9.52397858086753</v>
      </c>
      <c r="AC9" s="54">
        <v>219.83832524349847</v>
      </c>
      <c r="AD9" s="54">
        <v>1.521412560737759</v>
      </c>
      <c r="AE9" s="54">
        <v>0.73862982115055</v>
      </c>
      <c r="AF9" s="54">
        <v>38.732232622588704</v>
      </c>
      <c r="AG9" s="54">
        <v>15.873364393402735</v>
      </c>
      <c r="AH9" s="54">
        <v>3.350575964269148</v>
      </c>
      <c r="AI9" s="54">
        <v>2.45499184652239</v>
      </c>
      <c r="AJ9" s="54">
        <v>1.8388911328141322</v>
      </c>
      <c r="AK9" s="54">
        <v>3.3872092883518556</v>
      </c>
      <c r="AL9" s="54">
        <v>101.12518646963689</v>
      </c>
      <c r="AM9" s="54">
        <v>1.8345726795754567</v>
      </c>
      <c r="AN9" s="54">
        <v>5.976907364587375</v>
      </c>
      <c r="AO9" s="54">
        <v>3.298991187455387</v>
      </c>
      <c r="AP9" s="54">
        <v>30.783757662797754</v>
      </c>
      <c r="AQ9" s="54">
        <v>0.19905379317119204</v>
      </c>
      <c r="AR9" s="54"/>
      <c r="AS9" s="54"/>
      <c r="AT9" s="65"/>
      <c r="AX9" s="20"/>
      <c r="AY9" s="20"/>
    </row>
    <row r="10" spans="1:51" ht="12.75">
      <c r="A10" s="19" t="s">
        <v>155</v>
      </c>
      <c r="C10" s="19" t="s">
        <v>159</v>
      </c>
      <c r="D10" s="84">
        <v>458.7431149213467</v>
      </c>
      <c r="E10" s="84">
        <v>4.705734125621858</v>
      </c>
      <c r="F10" s="84">
        <v>0.5137922022991736</v>
      </c>
      <c r="G10" s="84">
        <v>0.7964730051246365</v>
      </c>
      <c r="H10" s="84">
        <v>4.036663608071124</v>
      </c>
      <c r="I10" s="84">
        <v>388.9971360848525</v>
      </c>
      <c r="J10" s="84">
        <v>4.912569843103987</v>
      </c>
      <c r="K10" s="84">
        <v>2.992260935787184</v>
      </c>
      <c r="L10" s="84">
        <v>44.603768787268585</v>
      </c>
      <c r="M10" s="84">
        <v>2.4925178921288484</v>
      </c>
      <c r="N10" s="84">
        <v>111.06265596429185</v>
      </c>
      <c r="O10" s="84">
        <v>127.78374384915378</v>
      </c>
      <c r="P10" s="84">
        <v>24.244519941549303</v>
      </c>
      <c r="Q10" s="84">
        <v>26.03574914173737</v>
      </c>
      <c r="R10" s="84">
        <v>7.570124820035962</v>
      </c>
      <c r="S10" s="84">
        <v>227.2234396841346</v>
      </c>
      <c r="T10" s="84">
        <v>37.22564623512857</v>
      </c>
      <c r="U10" s="84">
        <v>42.91214811892297</v>
      </c>
      <c r="V10" s="84">
        <v>535.9595482548978</v>
      </c>
      <c r="W10" s="84">
        <v>564.1224753538131</v>
      </c>
      <c r="X10" s="84">
        <v>274.20981966612055</v>
      </c>
      <c r="Y10" s="84">
        <v>1303.1198615728804</v>
      </c>
      <c r="Z10" s="84">
        <v>897.3245611544228</v>
      </c>
      <c r="AA10" s="84">
        <v>1541.5379273797848</v>
      </c>
      <c r="AB10" s="84">
        <v>39.92980694104503</v>
      </c>
      <c r="AC10" s="84">
        <v>541.797139874421</v>
      </c>
      <c r="AD10" s="84">
        <v>7.124015491646622</v>
      </c>
      <c r="AE10" s="84">
        <v>2.570548730838963</v>
      </c>
      <c r="AF10" s="84">
        <v>223.05292255871677</v>
      </c>
      <c r="AG10" s="84">
        <v>49.87952406681142</v>
      </c>
      <c r="AH10" s="84">
        <v>16.623306652763823</v>
      </c>
      <c r="AI10" s="84">
        <v>21.27036380146732</v>
      </c>
      <c r="AJ10" s="84">
        <v>10.089264368365702</v>
      </c>
      <c r="AK10" s="84">
        <v>27.44953021550057</v>
      </c>
      <c r="AL10" s="84">
        <v>306.52765302957613</v>
      </c>
      <c r="AM10" s="84">
        <v>8.950702311392275</v>
      </c>
      <c r="AN10" s="84">
        <v>26.936159378063646</v>
      </c>
      <c r="AO10" s="84">
        <v>16.853215272486896</v>
      </c>
      <c r="AP10" s="84">
        <v>137.05990140458772</v>
      </c>
      <c r="AQ10" s="84">
        <v>1.8785566000140275</v>
      </c>
      <c r="AR10" s="54"/>
      <c r="AS10" s="54"/>
      <c r="AT10" s="29"/>
      <c r="AX10" s="20"/>
      <c r="AY10" s="33"/>
    </row>
    <row r="11" spans="2:53" ht="12.75">
      <c r="B11" s="16"/>
      <c r="C11" s="18"/>
      <c r="AT11" s="33"/>
      <c r="AU11"/>
      <c r="AV11"/>
      <c r="AW11"/>
      <c r="AX11" s="12"/>
      <c r="AY11"/>
      <c r="AZ11"/>
      <c r="BA11"/>
    </row>
    <row r="12" spans="1:56" ht="12.75">
      <c r="A12" s="19" t="s">
        <v>160</v>
      </c>
      <c r="B12" s="24">
        <v>2</v>
      </c>
      <c r="C12" s="27" t="s">
        <v>78</v>
      </c>
      <c r="D12" s="19">
        <f>1134+2000+29</f>
        <v>3163</v>
      </c>
      <c r="E12" s="26">
        <f>19400+AZ13*1</f>
        <v>101480</v>
      </c>
      <c r="F12" s="22">
        <v>1198</v>
      </c>
      <c r="G12" s="22"/>
      <c r="H12" s="19">
        <v>199</v>
      </c>
      <c r="I12" s="22">
        <f>4190+73</f>
        <v>4263</v>
      </c>
      <c r="J12" s="22"/>
      <c r="K12" s="22"/>
      <c r="L12" s="19">
        <f>6288-1627+107</f>
        <v>4768</v>
      </c>
      <c r="M12" s="19">
        <f>293+26</f>
        <v>319</v>
      </c>
      <c r="N12" s="22">
        <f>2754+8</f>
        <v>2762</v>
      </c>
      <c r="O12" s="22"/>
      <c r="P12" s="19">
        <f>5349+1252</f>
        <v>6601</v>
      </c>
      <c r="Q12" s="19">
        <f>1205+14</f>
        <v>1219</v>
      </c>
      <c r="R12" s="19">
        <f>70+0</f>
        <v>70</v>
      </c>
      <c r="S12" s="19">
        <f>7959+1627+279</f>
        <v>9865</v>
      </c>
      <c r="T12" s="19">
        <f>2205+35</f>
        <v>2240</v>
      </c>
      <c r="U12" s="19">
        <v>3533</v>
      </c>
      <c r="V12" s="19">
        <f>11344+96</f>
        <v>11440</v>
      </c>
      <c r="W12" s="19">
        <f>3761+211</f>
        <v>3972</v>
      </c>
      <c r="X12" s="19">
        <f>2233+627+42</f>
        <v>2902</v>
      </c>
      <c r="Y12" s="19">
        <f>2874+33</f>
        <v>2907</v>
      </c>
      <c r="Z12" s="19">
        <f>710+359+19+6</f>
        <v>1094</v>
      </c>
      <c r="AA12" s="19">
        <f>726+307+54+20</f>
        <v>1107</v>
      </c>
      <c r="AB12" s="19">
        <f>10000+235</f>
        <v>10235</v>
      </c>
      <c r="AC12" s="19">
        <f>6239+280</f>
        <v>6519</v>
      </c>
      <c r="AD12" s="19">
        <f>5255+3054+500</f>
        <v>8809</v>
      </c>
      <c r="AE12" s="19">
        <f>488+315+300</f>
        <v>1103</v>
      </c>
      <c r="AF12" s="22">
        <v>500</v>
      </c>
      <c r="AG12" s="22">
        <v>500</v>
      </c>
      <c r="AI12" s="22">
        <f>3237+86</f>
        <v>3323</v>
      </c>
      <c r="AJ12" s="22"/>
      <c r="AM12" s="19">
        <f>2107+251+1400</f>
        <v>3758</v>
      </c>
      <c r="AN12" s="19">
        <f>1465+153+1000</f>
        <v>2618</v>
      </c>
      <c r="AO12" s="19">
        <f>959+133</f>
        <v>1092</v>
      </c>
      <c r="AP12" s="19">
        <f>10817+776-100-200</f>
        <v>11293</v>
      </c>
      <c r="AT12" s="32">
        <f aca="true" t="shared" si="0" ref="AT12:AT21">SUM(D12:AS12)</f>
        <v>214852</v>
      </c>
      <c r="AX12" s="35">
        <v>167670</v>
      </c>
      <c r="AY12" s="33"/>
      <c r="BA12" s="19" t="s">
        <v>161</v>
      </c>
      <c r="BC12" s="24">
        <f>AY13-AW13</f>
        <v>262422</v>
      </c>
      <c r="BD12" s="24">
        <f>BC12+AZ13</f>
        <v>344502</v>
      </c>
    </row>
    <row r="13" spans="1:56" ht="12.75">
      <c r="A13" s="19" t="s">
        <v>162</v>
      </c>
      <c r="B13" s="24">
        <v>2</v>
      </c>
      <c r="C13" s="27" t="s">
        <v>78</v>
      </c>
      <c r="D13" s="19">
        <f>D12</f>
        <v>3163</v>
      </c>
      <c r="E13" s="24">
        <f>E12</f>
        <v>101480</v>
      </c>
      <c r="F13" s="19">
        <f>F12-700</f>
        <v>498</v>
      </c>
      <c r="G13" s="19">
        <f>F12-F13</f>
        <v>700</v>
      </c>
      <c r="H13" s="19">
        <f>H12</f>
        <v>199</v>
      </c>
      <c r="I13" s="30">
        <f>I$7/SUM($I$7:$K$7)*$I$12+500</f>
        <v>3136.9208794548645</v>
      </c>
      <c r="J13" s="26">
        <f>J7/SUM($I7:$K7)*$I12</f>
        <v>688.0871485666569</v>
      </c>
      <c r="K13" s="26">
        <f>K7/SUM($I7:$K7)*$I12-500</f>
        <v>437.9919719784789</v>
      </c>
      <c r="L13" s="19">
        <f>L12</f>
        <v>4768</v>
      </c>
      <c r="M13" s="19">
        <f>M12</f>
        <v>319</v>
      </c>
      <c r="N13" s="30">
        <f>N7/($N7+$O7)*N12</f>
        <v>291.93796891090085</v>
      </c>
      <c r="O13" s="30">
        <f>O7/($N7+$O7)*N12</f>
        <v>2470.062031089099</v>
      </c>
      <c r="P13" s="19">
        <f aca="true" t="shared" si="1" ref="P13:AG13">P12</f>
        <v>6601</v>
      </c>
      <c r="Q13" s="19">
        <f t="shared" si="1"/>
        <v>1219</v>
      </c>
      <c r="R13" s="19">
        <f t="shared" si="1"/>
        <v>70</v>
      </c>
      <c r="S13" s="19">
        <f t="shared" si="1"/>
        <v>9865</v>
      </c>
      <c r="T13" s="19">
        <f t="shared" si="1"/>
        <v>2240</v>
      </c>
      <c r="U13" s="19">
        <f t="shared" si="1"/>
        <v>3533</v>
      </c>
      <c r="V13" s="19">
        <f t="shared" si="1"/>
        <v>11440</v>
      </c>
      <c r="W13" s="19">
        <f t="shared" si="1"/>
        <v>3972</v>
      </c>
      <c r="X13" s="19">
        <f t="shared" si="1"/>
        <v>2902</v>
      </c>
      <c r="Y13" s="19">
        <f t="shared" si="1"/>
        <v>2907</v>
      </c>
      <c r="Z13" s="19">
        <f t="shared" si="1"/>
        <v>1094</v>
      </c>
      <c r="AA13" s="19">
        <f t="shared" si="1"/>
        <v>1107</v>
      </c>
      <c r="AB13" s="19">
        <f t="shared" si="1"/>
        <v>10235</v>
      </c>
      <c r="AC13" s="19">
        <f t="shared" si="1"/>
        <v>6519</v>
      </c>
      <c r="AD13" s="19">
        <f t="shared" si="1"/>
        <v>8809</v>
      </c>
      <c r="AE13" s="19">
        <f t="shared" si="1"/>
        <v>1103</v>
      </c>
      <c r="AF13" s="22">
        <f t="shared" si="1"/>
        <v>500</v>
      </c>
      <c r="AG13" s="22">
        <f t="shared" si="1"/>
        <v>500</v>
      </c>
      <c r="AH13" s="24">
        <f>AH7/($AH7+$AK7+$AL7+$AP7+$AQ7)*$AP12</f>
        <v>843.213637395655</v>
      </c>
      <c r="AI13" s="30">
        <f>AI6/($AI6+$AJ6)*$AI12</f>
        <v>2314.432840893518</v>
      </c>
      <c r="AJ13" s="30">
        <f>AJ6/($AI6+$AJ6)*$AI12</f>
        <v>1008.5671591064822</v>
      </c>
      <c r="AK13" s="24">
        <f>AK$7/($AH7+$AK7+$AL7+$AP7+$AQ7)*$AP12</f>
        <v>3047.439422828749</v>
      </c>
      <c r="AL13" s="24">
        <f>AL7/($AH7+$AK7+$AL7+$AP7+$AQ7)*$AP12+1000+500</f>
        <v>4195.167739410593</v>
      </c>
      <c r="AM13" s="31">
        <f>AM12</f>
        <v>3758</v>
      </c>
      <c r="AN13" s="31">
        <f>AN12</f>
        <v>2618</v>
      </c>
      <c r="AO13" s="31">
        <f>AO12</f>
        <v>1092</v>
      </c>
      <c r="AP13" s="24">
        <f>AP7/($AH7+$AK7+$AL7+$AP7+$AQ7)*$AP12</f>
        <v>4560.046249271433</v>
      </c>
      <c r="AQ13" s="24">
        <f>AQ7/($AH7+$AK7+$AL7+$AP7+$AQ7)*$AP12</f>
        <v>147.13295109357065</v>
      </c>
      <c r="AS13" s="24"/>
      <c r="AT13" s="32">
        <f t="shared" si="0"/>
        <v>216352</v>
      </c>
      <c r="AU13" s="19">
        <v>47570</v>
      </c>
      <c r="AW13" s="19">
        <f>Energber9095!B5</f>
        <v>89670</v>
      </c>
      <c r="AX13" s="20">
        <f>AY13-AW13-E13</f>
        <v>160942</v>
      </c>
      <c r="AY13" s="62">
        <f>AT12+AU13+AW13</f>
        <v>352092</v>
      </c>
      <c r="AZ13" s="19">
        <v>82080</v>
      </c>
      <c r="BA13" s="24">
        <f>AX13/3.6</f>
        <v>44706.11111111111</v>
      </c>
      <c r="BB13" s="19" t="s">
        <v>163</v>
      </c>
      <c r="BC13" s="120">
        <f>BC12/AY13</f>
        <v>0.7453222453222453</v>
      </c>
      <c r="BD13" s="120">
        <f>BD12/AY13</f>
        <v>0.9784431341808391</v>
      </c>
    </row>
    <row r="14" spans="1:51" ht="12.75">
      <c r="A14" s="19" t="s">
        <v>160</v>
      </c>
      <c r="B14" s="24">
        <v>3</v>
      </c>
      <c r="C14" s="27" t="s">
        <v>79</v>
      </c>
      <c r="D14" s="19">
        <v>188</v>
      </c>
      <c r="E14" s="31">
        <v>199</v>
      </c>
      <c r="F14" s="31">
        <v>1200</v>
      </c>
      <c r="G14" s="31">
        <v>90</v>
      </c>
      <c r="H14" s="19">
        <v>20</v>
      </c>
      <c r="I14" s="22">
        <v>4104</v>
      </c>
      <c r="J14" s="22"/>
      <c r="K14" s="22"/>
      <c r="L14" s="19">
        <f>1842-513</f>
        <v>1329</v>
      </c>
      <c r="M14" s="19">
        <v>243</v>
      </c>
      <c r="N14" s="22">
        <v>729</v>
      </c>
      <c r="O14" s="22"/>
      <c r="P14" s="19">
        <v>2841</v>
      </c>
      <c r="Q14" s="19">
        <v>960</v>
      </c>
      <c r="R14" s="19">
        <v>429</v>
      </c>
      <c r="S14" s="19">
        <f>8706+513</f>
        <v>9219</v>
      </c>
      <c r="T14" s="19">
        <v>429</v>
      </c>
      <c r="U14" s="19">
        <v>3376</v>
      </c>
      <c r="V14" s="19">
        <v>3787</v>
      </c>
      <c r="W14" s="19">
        <v>1885</v>
      </c>
      <c r="X14" s="19">
        <f>1759+501</f>
        <v>2260</v>
      </c>
      <c r="Y14" s="19">
        <v>324</v>
      </c>
      <c r="Z14" s="19">
        <f>103+74</f>
        <v>177</v>
      </c>
      <c r="AA14" s="19">
        <f>342+127</f>
        <v>469</v>
      </c>
      <c r="AB14" s="19">
        <v>1503</v>
      </c>
      <c r="AC14" s="19">
        <v>1789</v>
      </c>
      <c r="AD14" s="19">
        <v>600</v>
      </c>
      <c r="AE14" s="19">
        <v>120</v>
      </c>
      <c r="AF14" s="19">
        <v>50</v>
      </c>
      <c r="AG14" s="19">
        <v>1200</v>
      </c>
      <c r="AI14" s="22">
        <v>547</v>
      </c>
      <c r="AJ14" s="22"/>
      <c r="AM14" s="19">
        <v>1602</v>
      </c>
      <c r="AN14" s="19">
        <v>975</v>
      </c>
      <c r="AO14" s="19">
        <v>852</v>
      </c>
      <c r="AP14" s="19">
        <v>4956</v>
      </c>
      <c r="AT14" s="32">
        <f t="shared" si="0"/>
        <v>48452</v>
      </c>
      <c r="AX14" s="20"/>
      <c r="AY14" s="33"/>
    </row>
    <row r="15" spans="1:54" ht="12.75">
      <c r="A15" s="19" t="s">
        <v>162</v>
      </c>
      <c r="B15" s="24">
        <v>3</v>
      </c>
      <c r="C15" s="27" t="s">
        <v>79</v>
      </c>
      <c r="D15" s="19">
        <f>D14</f>
        <v>188</v>
      </c>
      <c r="E15" s="31">
        <f>E14</f>
        <v>199</v>
      </c>
      <c r="F15" s="31">
        <f>F14</f>
        <v>1200</v>
      </c>
      <c r="G15" s="31">
        <f>G14</f>
        <v>90</v>
      </c>
      <c r="H15" s="31">
        <f>H14</f>
        <v>20</v>
      </c>
      <c r="I15" s="30">
        <f>I$7/SUM($I$7:$K$7)*$I14+400</f>
        <v>2938.5698543942676</v>
      </c>
      <c r="J15" s="30">
        <f>J$7/SUM($I$7:$K$7)*$I14</f>
        <v>662.4230958755711</v>
      </c>
      <c r="K15" s="30">
        <f>K$7/SUM($I$7:$K$7)*$I14-400</f>
        <v>503.00704973016127</v>
      </c>
      <c r="L15" s="19">
        <f>L14</f>
        <v>1329</v>
      </c>
      <c r="M15" s="19">
        <f>M14</f>
        <v>243</v>
      </c>
      <c r="N15" s="30">
        <f>N$7/SUM($N$7:$O$7)*$N14</f>
        <v>77.05386652282647</v>
      </c>
      <c r="O15" s="30">
        <f>O$7/SUM($N$7:$O$7)*$N14</f>
        <v>651.9461334771736</v>
      </c>
      <c r="P15" s="19">
        <f aca="true" t="shared" si="2" ref="P15:AG15">P14</f>
        <v>2841</v>
      </c>
      <c r="Q15" s="19">
        <f t="shared" si="2"/>
        <v>960</v>
      </c>
      <c r="R15" s="19">
        <f t="shared" si="2"/>
        <v>429</v>
      </c>
      <c r="S15" s="19">
        <f t="shared" si="2"/>
        <v>9219</v>
      </c>
      <c r="T15" s="19">
        <f t="shared" si="2"/>
        <v>429</v>
      </c>
      <c r="U15" s="19">
        <f t="shared" si="2"/>
        <v>3376</v>
      </c>
      <c r="V15" s="19">
        <f t="shared" si="2"/>
        <v>3787</v>
      </c>
      <c r="W15" s="19">
        <f t="shared" si="2"/>
        <v>1885</v>
      </c>
      <c r="X15" s="19">
        <f t="shared" si="2"/>
        <v>2260</v>
      </c>
      <c r="Y15" s="19">
        <f t="shared" si="2"/>
        <v>324</v>
      </c>
      <c r="Z15" s="19">
        <f t="shared" si="2"/>
        <v>177</v>
      </c>
      <c r="AA15" s="19">
        <f t="shared" si="2"/>
        <v>469</v>
      </c>
      <c r="AB15" s="19">
        <f t="shared" si="2"/>
        <v>1503</v>
      </c>
      <c r="AC15" s="19">
        <f t="shared" si="2"/>
        <v>1789</v>
      </c>
      <c r="AD15" s="19">
        <f t="shared" si="2"/>
        <v>600</v>
      </c>
      <c r="AE15" s="19">
        <f t="shared" si="2"/>
        <v>120</v>
      </c>
      <c r="AF15" s="19">
        <f t="shared" si="2"/>
        <v>50</v>
      </c>
      <c r="AG15" s="19">
        <f t="shared" si="2"/>
        <v>1200</v>
      </c>
      <c r="AH15" s="24">
        <f>AH$7/($AH7+$AK7+$AL7+$AP7+$AQ7)*$AP14</f>
        <v>370.04930372202836</v>
      </c>
      <c r="AI15" s="30">
        <f>AI$7/SUM($AI7:$AJ7)*$AI14</f>
        <v>413.9707237080477</v>
      </c>
      <c r="AJ15" s="30">
        <f>AJ$7/SUM($AI7:$AJ7)*$AI14</f>
        <v>133.02927629195239</v>
      </c>
      <c r="AK15" s="24">
        <f>AK$7/($AH7+$AK7+$AL7+$AP7+$AQ7)*$AP14</f>
        <v>1337.3868573044613</v>
      </c>
      <c r="AL15" s="24">
        <f>AL$7/($AH7+$AK7+$AL7+$AP7+$AQ7)*$AP14</f>
        <v>1182.7903406109003</v>
      </c>
      <c r="AM15" s="19">
        <f>AM14</f>
        <v>1602</v>
      </c>
      <c r="AN15" s="19">
        <f>AN14</f>
        <v>975</v>
      </c>
      <c r="AO15" s="19">
        <f>AO14</f>
        <v>852</v>
      </c>
      <c r="AP15" s="24">
        <f>AP$7/($AH7+$AK7+$AL7+$AP7+$AQ7)*$AP14</f>
        <v>2001.2033305046684</v>
      </c>
      <c r="AQ15" s="24">
        <f>AQ$7/($AH7+$AK7+$AL7+$AP7+$AQ7)*$AP14</f>
        <v>64.57016785794175</v>
      </c>
      <c r="AS15" s="24"/>
      <c r="AT15" s="32">
        <f t="shared" si="0"/>
        <v>48452.00000000001</v>
      </c>
      <c r="AU15" s="19">
        <v>25100</v>
      </c>
      <c r="AV15" s="24">
        <f>AV42/AV32*10^6</f>
        <v>-5571.428571428571</v>
      </c>
      <c r="AW15" s="24">
        <f>AW42*10^6/AW32</f>
        <v>814.8148148148223</v>
      </c>
      <c r="AX15" s="63">
        <f>AY15-AW15-F15</f>
        <v>66780.57142857143</v>
      </c>
      <c r="AY15" s="62">
        <f>SUM(AT15:AW15)</f>
        <v>68795.38624338625</v>
      </c>
      <c r="AZ15" s="35">
        <v>75760</v>
      </c>
      <c r="BA15" s="19">
        <v>70480</v>
      </c>
      <c r="BB15" s="19" t="s">
        <v>164</v>
      </c>
    </row>
    <row r="16" spans="1:54" ht="12.75">
      <c r="A16" s="19" t="s">
        <v>165</v>
      </c>
      <c r="B16" s="24">
        <v>4</v>
      </c>
      <c r="C16" s="27" t="s">
        <v>80</v>
      </c>
      <c r="D16" s="24">
        <f>D43/D33</f>
        <v>19.445637050288216</v>
      </c>
      <c r="E16" s="24">
        <f aca="true" t="shared" si="3" ref="E16:T16">E43/E33</f>
        <v>6.329113924050633</v>
      </c>
      <c r="F16" s="24">
        <f t="shared" si="3"/>
        <v>3.7974683544303796</v>
      </c>
      <c r="G16" s="24">
        <f t="shared" si="3"/>
        <v>124</v>
      </c>
      <c r="H16" s="24">
        <f t="shared" si="3"/>
        <v>0.5557172722220752</v>
      </c>
      <c r="I16" s="24">
        <f t="shared" si="3"/>
        <v>34.88950207572029</v>
      </c>
      <c r="J16" s="24">
        <f t="shared" si="3"/>
        <v>7.9175678027195655</v>
      </c>
      <c r="K16" s="24">
        <f t="shared" si="3"/>
        <v>2.145290324390063</v>
      </c>
      <c r="L16" s="24">
        <f t="shared" si="3"/>
        <v>6.114077424511679</v>
      </c>
      <c r="M16" s="24">
        <f t="shared" si="3"/>
        <v>2.9221454570101</v>
      </c>
      <c r="N16" s="24">
        <f t="shared" si="3"/>
        <v>0.40534188034188046</v>
      </c>
      <c r="O16" s="24">
        <f t="shared" si="3"/>
        <v>1.3173611111111114</v>
      </c>
      <c r="P16" s="24">
        <f t="shared" si="3"/>
        <v>6.080128205128205</v>
      </c>
      <c r="Q16" s="24">
        <f t="shared" si="3"/>
        <v>4.686765491452992</v>
      </c>
      <c r="R16" s="24">
        <f t="shared" si="3"/>
        <v>0.5066773504273505</v>
      </c>
      <c r="S16" s="24">
        <f t="shared" si="3"/>
        <v>20.008585164835164</v>
      </c>
      <c r="T16" s="24">
        <f t="shared" si="3"/>
        <v>1.1581196581196582</v>
      </c>
      <c r="U16" s="24">
        <f aca="true" t="shared" si="4" ref="U16:AJ16">U43/U33</f>
        <v>3.8000801282051286</v>
      </c>
      <c r="V16" s="24">
        <f t="shared" si="4"/>
        <v>11.084000009348657</v>
      </c>
      <c r="W16" s="24">
        <f t="shared" si="4"/>
        <v>15.819890922433991</v>
      </c>
      <c r="X16" s="24">
        <f t="shared" si="4"/>
        <v>12.250736852437988</v>
      </c>
      <c r="Y16" s="24">
        <f t="shared" si="4"/>
        <v>9.310560007852871</v>
      </c>
      <c r="Z16" s="24">
        <f t="shared" si="4"/>
        <v>3.0524084012456107</v>
      </c>
      <c r="AA16" s="24">
        <f t="shared" si="4"/>
        <v>7.0951076047684705</v>
      </c>
      <c r="AB16" s="24">
        <f t="shared" si="4"/>
        <v>20.828198502617106</v>
      </c>
      <c r="AC16" s="24">
        <f t="shared" si="4"/>
        <v>36.54896758766341</v>
      </c>
      <c r="AD16" s="24">
        <f t="shared" si="4"/>
        <v>1.9001142873169126</v>
      </c>
      <c r="AE16" s="24">
        <f t="shared" si="4"/>
        <v>1.923865715908374</v>
      </c>
      <c r="AF16" s="24">
        <f t="shared" si="4"/>
        <v>1.7955343536738886</v>
      </c>
      <c r="AG16" s="24">
        <f t="shared" si="4"/>
        <v>1.9001142873169126</v>
      </c>
      <c r="AH16" s="24">
        <f t="shared" si="4"/>
        <v>1.266742858211275</v>
      </c>
      <c r="AI16" s="24">
        <f t="shared" si="4"/>
        <v>3.5012919896640824</v>
      </c>
      <c r="AJ16" s="24">
        <f t="shared" si="4"/>
        <v>1.7955343536738886</v>
      </c>
      <c r="AK16" s="24">
        <f aca="true" t="shared" si="5" ref="AK16:AQ16">AK43/AK33</f>
        <v>2.693301530510833</v>
      </c>
      <c r="AL16" s="24">
        <f t="shared" si="5"/>
        <v>2.868217054263566</v>
      </c>
      <c r="AM16" s="24">
        <f t="shared" si="5"/>
        <v>3.02736069701186</v>
      </c>
      <c r="AN16" s="24">
        <f t="shared" si="5"/>
        <v>44.96124031007752</v>
      </c>
      <c r="AO16" s="24">
        <f t="shared" si="5"/>
        <v>4.3990591665010275</v>
      </c>
      <c r="AP16" s="24">
        <f t="shared" si="5"/>
        <v>10.223485324322533</v>
      </c>
      <c r="AQ16" s="24">
        <f t="shared" si="5"/>
        <v>0.9302325581395349</v>
      </c>
      <c r="AR16" s="24"/>
      <c r="AS16" s="24"/>
      <c r="AT16" s="32">
        <f t="shared" si="0"/>
        <v>445.2555430499249</v>
      </c>
      <c r="AU16" s="24">
        <f>2859000*0.29*365*10^-6*2.4</f>
        <v>726.3003599999998</v>
      </c>
      <c r="AV16" s="24"/>
      <c r="AW16" s="24">
        <v>0</v>
      </c>
      <c r="AX16" s="63">
        <f>AY16-AW16-G16</f>
        <v>1047.5559030499248</v>
      </c>
      <c r="AY16" s="62">
        <f>AT16+AU16+AW16</f>
        <v>1171.5559030499248</v>
      </c>
      <c r="AZ16" s="24">
        <v>0</v>
      </c>
      <c r="BA16" s="24">
        <f>6.75*0.455*365</f>
        <v>1121.00625</v>
      </c>
      <c r="BB16" t="s">
        <v>166</v>
      </c>
    </row>
    <row r="17" spans="1:55" s="71" customFormat="1" ht="12.75">
      <c r="A17" s="71" t="s">
        <v>162</v>
      </c>
      <c r="B17" s="67">
        <v>5</v>
      </c>
      <c r="C17" s="67" t="s">
        <v>103</v>
      </c>
      <c r="D17" s="72">
        <f>SUM(D18:D20)</f>
        <v>7308.9856</v>
      </c>
      <c r="E17" s="72">
        <f aca="true" t="shared" si="6" ref="E17:T17">SUM(E18:E20)</f>
        <v>471.6296977185558</v>
      </c>
      <c r="F17" s="72">
        <f t="shared" si="6"/>
        <v>66.78653178799678</v>
      </c>
      <c r="G17" s="72">
        <f t="shared" si="6"/>
        <v>22.486602949813488</v>
      </c>
      <c r="H17" s="72">
        <f>3127*41.868</f>
        <v>130921.236</v>
      </c>
      <c r="I17" s="72">
        <f t="shared" si="6"/>
        <v>6073.220174566048</v>
      </c>
      <c r="J17" s="72">
        <f t="shared" si="6"/>
        <v>500.6545332854898</v>
      </c>
      <c r="K17" s="72">
        <f t="shared" si="6"/>
        <v>135.42753524328919</v>
      </c>
      <c r="L17" s="72">
        <f t="shared" si="6"/>
        <v>3055.8156821976504</v>
      </c>
      <c r="M17" s="72">
        <f t="shared" si="6"/>
        <v>411.65898619923297</v>
      </c>
      <c r="N17" s="72">
        <f t="shared" si="6"/>
        <v>688.8839854251432</v>
      </c>
      <c r="O17" s="72">
        <f t="shared" si="6"/>
        <v>2063.835532104547</v>
      </c>
      <c r="P17" s="72">
        <f t="shared" si="6"/>
        <v>8486.514375778308</v>
      </c>
      <c r="Q17" s="72">
        <f t="shared" si="6"/>
        <v>1874.2221398241056</v>
      </c>
      <c r="R17" s="72">
        <f t="shared" si="6"/>
        <v>261.21239192666843</v>
      </c>
      <c r="S17" s="72">
        <f t="shared" si="6"/>
        <v>7537.469275213467</v>
      </c>
      <c r="T17" s="72">
        <f t="shared" si="6"/>
        <v>825.9328124827248</v>
      </c>
      <c r="U17" s="72">
        <f aca="true" t="shared" si="7" ref="U17:AH17">SUM(U18:U20)</f>
        <v>19995.000012795073</v>
      </c>
      <c r="V17" s="72">
        <f t="shared" si="7"/>
        <v>6516.215336513747</v>
      </c>
      <c r="W17" s="72">
        <f t="shared" si="7"/>
        <v>10857.316510598628</v>
      </c>
      <c r="X17" s="72">
        <f t="shared" si="7"/>
        <v>5075.66632537195</v>
      </c>
      <c r="Y17" s="72">
        <f t="shared" si="7"/>
        <v>9329.1852</v>
      </c>
      <c r="Z17" s="72">
        <f t="shared" si="7"/>
        <v>6365.703158017564</v>
      </c>
      <c r="AA17" s="72">
        <f t="shared" si="7"/>
        <v>6127.089</v>
      </c>
      <c r="AB17" s="72">
        <f t="shared" si="7"/>
        <v>18541.379000000004</v>
      </c>
      <c r="AC17" s="72">
        <f t="shared" si="7"/>
        <v>11692.002600000002</v>
      </c>
      <c r="AD17" s="72">
        <f t="shared" si="7"/>
        <v>1170.05</v>
      </c>
      <c r="AE17" s="72">
        <f t="shared" si="7"/>
        <v>1285.1368000000002</v>
      </c>
      <c r="AF17" s="72">
        <f t="shared" si="7"/>
        <v>18627.074105960266</v>
      </c>
      <c r="AG17" s="72">
        <f>SUM(AG18:AG21)</f>
        <v>47157.7052</v>
      </c>
      <c r="AH17" s="72">
        <f t="shared" si="7"/>
        <v>2000.6048</v>
      </c>
      <c r="AI17" s="72">
        <f aca="true" t="shared" si="8" ref="AI17:AQ17">SUM(AI18:AI20)</f>
        <v>3404.4694</v>
      </c>
      <c r="AJ17" s="72">
        <f t="shared" si="8"/>
        <v>1163.8982</v>
      </c>
      <c r="AK17" s="72">
        <f t="shared" si="8"/>
        <v>797.884</v>
      </c>
      <c r="AL17" s="72">
        <f t="shared" si="8"/>
        <v>10697.9732</v>
      </c>
      <c r="AM17" s="72">
        <f t="shared" si="8"/>
        <v>3708.7817999999997</v>
      </c>
      <c r="AN17" s="72">
        <f t="shared" si="8"/>
        <v>3317.928</v>
      </c>
      <c r="AO17" s="72">
        <f t="shared" si="8"/>
        <v>3468.0750000000003</v>
      </c>
      <c r="AP17" s="72">
        <f t="shared" si="8"/>
        <v>14655.4006</v>
      </c>
      <c r="AQ17" s="72">
        <f t="shared" si="8"/>
        <v>289.7864</v>
      </c>
      <c r="AR17" s="72"/>
      <c r="AS17" s="72"/>
      <c r="AT17" s="73">
        <f t="shared" si="0"/>
        <v>376950.2965059603</v>
      </c>
      <c r="AU17" s="72">
        <f>SUM(AU18:AU21)</f>
        <v>285369.981891785</v>
      </c>
      <c r="AV17" s="72">
        <f>-1.2*41.868</f>
        <v>-50.2416</v>
      </c>
      <c r="AW17" s="72">
        <f>170*41.868</f>
        <v>7117.56</v>
      </c>
      <c r="AX17" s="73">
        <f>AY17-H17-AW17</f>
        <v>531348.8007977452</v>
      </c>
      <c r="AY17" s="72">
        <f>SUM(AT17:AW17)</f>
        <v>669387.5967977453</v>
      </c>
      <c r="AZ17" s="72">
        <f>12914*41.868</f>
        <v>540683.3520000001</v>
      </c>
      <c r="BA17" s="72" t="s">
        <v>167</v>
      </c>
      <c r="BB17" s="72"/>
      <c r="BC17" s="72"/>
    </row>
    <row r="18" spans="1:55" s="71" customFormat="1" ht="12.75">
      <c r="A18" s="71" t="s">
        <v>160</v>
      </c>
      <c r="B18" s="67"/>
      <c r="C18" s="67" t="s">
        <v>168</v>
      </c>
      <c r="D18" s="74">
        <v>4000</v>
      </c>
      <c r="E18" s="72">
        <v>138</v>
      </c>
      <c r="F18" s="72">
        <v>20</v>
      </c>
      <c r="G18" s="72">
        <v>7</v>
      </c>
      <c r="H18" s="72"/>
      <c r="I18" s="72">
        <v>3055</v>
      </c>
      <c r="J18" s="72">
        <v>229</v>
      </c>
      <c r="K18" s="72">
        <v>76</v>
      </c>
      <c r="L18" s="72">
        <v>1643</v>
      </c>
      <c r="M18" s="72">
        <v>121</v>
      </c>
      <c r="N18" s="72">
        <v>127</v>
      </c>
      <c r="O18" s="72">
        <v>742</v>
      </c>
      <c r="P18" s="72">
        <f>7712+195</f>
        <v>7907</v>
      </c>
      <c r="Q18" s="72">
        <v>837</v>
      </c>
      <c r="R18" s="72">
        <f>133*$BB18</f>
        <v>132.069</v>
      </c>
      <c r="S18" s="72">
        <f>6023*$BB18</f>
        <v>5980.839</v>
      </c>
      <c r="T18" s="72">
        <f>366*$BB18</f>
        <v>363.438</v>
      </c>
      <c r="U18" s="72">
        <f>19471*$BB18</f>
        <v>19334.703</v>
      </c>
      <c r="V18" s="72">
        <f>(588+3059)*$BB18</f>
        <v>3621.471</v>
      </c>
      <c r="W18" s="72">
        <f>6412*$BB18</f>
        <v>6367.116</v>
      </c>
      <c r="X18" s="72">
        <f>(1098+244)*$BB18</f>
        <v>1332.606</v>
      </c>
      <c r="Y18" s="72">
        <f>2794*$BB18</f>
        <v>2774.442</v>
      </c>
      <c r="Z18" s="72">
        <f>988*$BB18</f>
        <v>981.084</v>
      </c>
      <c r="AA18" s="72">
        <f>3005*$BB18</f>
        <v>2983.965</v>
      </c>
      <c r="AB18" s="72">
        <f>11539*$BB18</f>
        <v>11458.227</v>
      </c>
      <c r="AC18" s="72">
        <f>11127*$BB18</f>
        <v>11049.111</v>
      </c>
      <c r="AD18" s="72">
        <f>688*$BB18</f>
        <v>683.184</v>
      </c>
      <c r="AE18" s="72">
        <f>100*$BB18</f>
        <v>99.3</v>
      </c>
      <c r="AF18" s="72">
        <f>962*$BB18</f>
        <v>955.266</v>
      </c>
      <c r="AG18" s="72">
        <f>300*$BB18</f>
        <v>297.9</v>
      </c>
      <c r="AH18" s="72">
        <f>918*$BB18</f>
        <v>911.574</v>
      </c>
      <c r="AI18" s="72">
        <f>1413*$BB18</f>
        <v>1403.109</v>
      </c>
      <c r="AJ18" s="72">
        <f>401*$BB18</f>
        <v>398.193</v>
      </c>
      <c r="AK18" s="72">
        <f>488*$BB18</f>
        <v>484.584</v>
      </c>
      <c r="AL18" s="72">
        <f>6538*$BB18</f>
        <v>6492.234</v>
      </c>
      <c r="AM18" s="72">
        <f>3061*$BB18</f>
        <v>3039.573</v>
      </c>
      <c r="AN18" s="72">
        <f>2338*$BB18</f>
        <v>2321.634</v>
      </c>
      <c r="AO18" s="72">
        <f>1183*$BB18</f>
        <v>1174.719</v>
      </c>
      <c r="AP18" s="72">
        <f>8287*$BB18</f>
        <v>8228.991</v>
      </c>
      <c r="AQ18" s="72">
        <f>100*$BB18</f>
        <v>99.3</v>
      </c>
      <c r="AR18" s="72"/>
      <c r="AS18" s="72"/>
      <c r="AT18" s="73">
        <f t="shared" si="0"/>
        <v>111870.632</v>
      </c>
      <c r="AU18" s="72">
        <v>136780</v>
      </c>
      <c r="AV18" s="72"/>
      <c r="AW18" s="72"/>
      <c r="AX18" s="73">
        <f>SUM(AT18:AV18)-H18</f>
        <v>248650.63199999998</v>
      </c>
      <c r="AY18" s="72"/>
      <c r="AZ18" s="72"/>
      <c r="BA18" s="72" t="s">
        <v>169</v>
      </c>
      <c r="BB18" s="75">
        <v>0.993</v>
      </c>
      <c r="BC18" s="72"/>
    </row>
    <row r="19" spans="1:55" s="71" customFormat="1" ht="12.75">
      <c r="A19" s="71" t="s">
        <v>160</v>
      </c>
      <c r="B19" s="67"/>
      <c r="C19" s="67" t="s">
        <v>170</v>
      </c>
      <c r="D19" s="72">
        <f>816*BB19</f>
        <v>1022.6112</v>
      </c>
      <c r="E19" s="71">
        <f>262*BB19</f>
        <v>328.33840000000004</v>
      </c>
      <c r="F19" s="71">
        <f>37*BB19</f>
        <v>46.3684</v>
      </c>
      <c r="G19" s="71">
        <f>12*BB19</f>
        <v>15.038400000000001</v>
      </c>
      <c r="H19" s="72"/>
      <c r="I19" s="72">
        <f>1387*BB19</f>
        <v>1738.1884000000002</v>
      </c>
      <c r="J19" s="72">
        <f>210*BB19</f>
        <v>263.172</v>
      </c>
      <c r="K19" s="72">
        <f>44*BB19</f>
        <v>55.140800000000006</v>
      </c>
      <c r="L19" s="72">
        <f>1083*BB19</f>
        <v>1357.2156</v>
      </c>
      <c r="M19" s="72">
        <f>229*BB19</f>
        <v>286.9828</v>
      </c>
      <c r="N19" s="72">
        <f>121*BB19</f>
        <v>151.6372</v>
      </c>
      <c r="O19" s="72">
        <f>703*BB19</f>
        <v>880.9996000000001</v>
      </c>
      <c r="P19" s="72">
        <f>(248+177)*BB19</f>
        <v>532.61</v>
      </c>
      <c r="Q19" s="72">
        <f>793*BB19</f>
        <v>993.7876000000001</v>
      </c>
      <c r="R19" s="72">
        <f>79*BB19</f>
        <v>99.00280000000001</v>
      </c>
      <c r="S19" s="72">
        <f>933*BB19</f>
        <v>1169.2356</v>
      </c>
      <c r="T19" s="72">
        <f>305*BB19</f>
        <v>382.22600000000006</v>
      </c>
      <c r="U19" s="72">
        <f>444*BB19</f>
        <v>556.4208</v>
      </c>
      <c r="V19" s="72">
        <f>(787+534)*BB19</f>
        <v>1655.4772</v>
      </c>
      <c r="W19" s="72">
        <f>2628*BB19</f>
        <v>3293.4096000000004</v>
      </c>
      <c r="X19" s="72">
        <f>(2078+463)*BB19</f>
        <v>3184.3812000000003</v>
      </c>
      <c r="Y19" s="72">
        <v>0</v>
      </c>
      <c r="Z19" s="72">
        <f>1871*BB19</f>
        <v>2344.7372</v>
      </c>
      <c r="AA19" s="72">
        <v>0</v>
      </c>
      <c r="AB19" s="72">
        <f>3980*BB19</f>
        <v>4987.736000000001</v>
      </c>
      <c r="AC19" s="72">
        <f>513*BB19</f>
        <v>642.8916</v>
      </c>
      <c r="AD19" s="72">
        <f>5*BB19</f>
        <v>6.266</v>
      </c>
      <c r="AE19" s="72">
        <f>10*BB19</f>
        <v>12.532</v>
      </c>
      <c r="AF19" s="72">
        <f>120*BB19</f>
        <v>150.38400000000001</v>
      </c>
      <c r="AG19" s="72">
        <f>41*BB19</f>
        <v>51.38120000000001</v>
      </c>
      <c r="AH19" s="72">
        <f>869*BB19</f>
        <v>1089.0308</v>
      </c>
      <c r="AI19" s="72">
        <f>1597*BB19</f>
        <v>2001.3604000000003</v>
      </c>
      <c r="AJ19" s="72">
        <f>611*BB19</f>
        <v>765.7052000000001</v>
      </c>
      <c r="AK19" s="72">
        <f>250*BB19</f>
        <v>313.3</v>
      </c>
      <c r="AL19" s="72">
        <f>3356*BB19</f>
        <v>4205.7392</v>
      </c>
      <c r="AM19" s="72">
        <f>534*BB19</f>
        <v>669.2088</v>
      </c>
      <c r="AN19" s="72">
        <f>795*BB19</f>
        <v>996.2940000000001</v>
      </c>
      <c r="AO19" s="72">
        <f>1830*BB19</f>
        <v>2293.356</v>
      </c>
      <c r="AP19" s="72">
        <f>5128*BB19</f>
        <v>6426.409600000001</v>
      </c>
      <c r="AQ19" s="72">
        <f>152*BB19</f>
        <v>190.4864</v>
      </c>
      <c r="AR19" s="72"/>
      <c r="AS19" s="72"/>
      <c r="AT19" s="73">
        <f t="shared" si="0"/>
        <v>45159.062</v>
      </c>
      <c r="AU19" s="72">
        <f>AU46*10^6/AU36</f>
        <v>142643.62300424968</v>
      </c>
      <c r="AV19" s="72"/>
      <c r="AW19" s="72"/>
      <c r="AX19" s="73">
        <f>SUM(AT19:AV19)-H19</f>
        <v>187802.68500424968</v>
      </c>
      <c r="AY19" s="72"/>
      <c r="AZ19" s="72"/>
      <c r="BA19" s="72" t="s">
        <v>171</v>
      </c>
      <c r="BB19" s="75">
        <v>1.2532</v>
      </c>
      <c r="BC19" s="72"/>
    </row>
    <row r="20" spans="1:55" s="71" customFormat="1" ht="12.75">
      <c r="A20" s="71" t="s">
        <v>160</v>
      </c>
      <c r="B20" s="67"/>
      <c r="C20" s="67" t="s">
        <v>172</v>
      </c>
      <c r="D20" s="72">
        <f>3568*BB20</f>
        <v>2286.3744</v>
      </c>
      <c r="E20" s="72">
        <f>E$9/(SUM($E$9:$Z$9)-$H$9-$Y$9)*13945*BB20</f>
        <v>5.291297718555786</v>
      </c>
      <c r="F20" s="72">
        <f>F$9/(SUM($E$9:$Z$9)-$H$9-$Y$9)*13945*BB20</f>
        <v>0.4181317879967755</v>
      </c>
      <c r="G20" s="72">
        <f>G$9/(SUM($E$9:$Z$9)-$H$9-$Y$9)*13945*BB20</f>
        <v>0.4482029498134835</v>
      </c>
      <c r="H20" s="72"/>
      <c r="I20" s="72">
        <f>I$9/(SUM($E$9:$Z$9)-$H$9-$Y$9)*13945*BB20</f>
        <v>1280.0317745660475</v>
      </c>
      <c r="J20" s="72">
        <f>J$9/(SUM($E$9:$Z$9)-$H$9-$Y$9)*13945*BB20</f>
        <v>8.48253328548977</v>
      </c>
      <c r="K20" s="72">
        <f>K$9/(SUM($E$9:$Z$9)-$H$9-$Y$9)*13945*BB20</f>
        <v>4.2867352432891765</v>
      </c>
      <c r="L20" s="72">
        <f>L$9/(SUM($E$9:$Z$9)-$H$9-$Y$9)*13945*BB20</f>
        <v>55.60008219765062</v>
      </c>
      <c r="M20" s="72">
        <f>M$9/(SUM($E$9:$Z$9)-$H$9-$Y$9)*13945*BB20</f>
        <v>3.676186199232968</v>
      </c>
      <c r="N20" s="72">
        <f>N$9/(SUM($E$9:$Z$9)-$H$9-$Y$9)*13945*BB20</f>
        <v>410.2467854251433</v>
      </c>
      <c r="O20" s="72">
        <f>O$9/(SUM($E$9:$Z$9)-$H$9-$Y$9)*13945*BB20</f>
        <v>440.83593210454666</v>
      </c>
      <c r="P20" s="72">
        <f>P$9/(SUM($E$9:$Z$9)-$H$9-$Y$9)*13945*BB20</f>
        <v>46.90437577830813</v>
      </c>
      <c r="Q20" s="72">
        <f>Q$9/(SUM($E$9:$Z$9)-$H$9-$Y$9)*13945*BB20</f>
        <v>43.434539824105514</v>
      </c>
      <c r="R20" s="72">
        <f>R$9/(SUM($E$9:$Z$9)-$H$9-$Y$9)*13945*BB20</f>
        <v>30.14059192666844</v>
      </c>
      <c r="S20" s="72">
        <f>S$9/(SUM($E$9:$Z$9)-$H$9-$Y$9)*13945*BB20</f>
        <v>387.3946752134673</v>
      </c>
      <c r="T20" s="72">
        <f>T$9/(SUM($E$9:$Z$9)-$H$9-$Y$9)*13945*BB20</f>
        <v>80.26881248272483</v>
      </c>
      <c r="U20" s="72">
        <f>U$9/(SUM($E$9:$Z$9)-$H$9-$Y$9)*13945*BB20</f>
        <v>103.87621279507341</v>
      </c>
      <c r="V20" s="72">
        <f>V$9/(SUM($E$9:$Z$9)-$H$9-$Y$9)*13945*BB20</f>
        <v>1239.2671365137478</v>
      </c>
      <c r="W20" s="72">
        <f>W$9/(SUM($E$9:$Z$9)-$H$9-$Y$9)*13945*BB20</f>
        <v>1196.7909105986273</v>
      </c>
      <c r="X20" s="72">
        <f>X$9/(SUM($E$9:$Z$9)-$H$9-$Y$9)*13945*BB20</f>
        <v>558.6791253719493</v>
      </c>
      <c r="Y20" s="72">
        <f>10229*BB20</f>
        <v>6554.743200000001</v>
      </c>
      <c r="Z20" s="72">
        <f>Z$9/(SUM($E$9:$Z$9)-$H$9-$Y$9)*13945*BB20</f>
        <v>3039.881958017565</v>
      </c>
      <c r="AA20" s="72">
        <f>4905*BB20</f>
        <v>3143.1240000000003</v>
      </c>
      <c r="AB20" s="72">
        <f>3270*BB20</f>
        <v>2095.416</v>
      </c>
      <c r="AC20" s="72">
        <v>0</v>
      </c>
      <c r="AD20" s="72">
        <f>750*BB20</f>
        <v>480.6</v>
      </c>
      <c r="AE20" s="72">
        <f>1831*BB20</f>
        <v>1173.3048000000001</v>
      </c>
      <c r="AF20" s="72">
        <f>(43119-1831)/1.51*BB20</f>
        <v>17521.424105960265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72">
        <v>0</v>
      </c>
      <c r="AN20" s="72">
        <v>0</v>
      </c>
      <c r="AO20" s="72">
        <v>0</v>
      </c>
      <c r="AP20" s="72">
        <v>0</v>
      </c>
      <c r="AQ20" s="72">
        <v>0</v>
      </c>
      <c r="AR20" s="72"/>
      <c r="AS20" s="72"/>
      <c r="AT20" s="73">
        <f t="shared" si="0"/>
        <v>42190.942505960265</v>
      </c>
      <c r="AU20" s="72">
        <f>AU47*10^6/AU37</f>
        <v>5946.358887535358</v>
      </c>
      <c r="AV20" s="72"/>
      <c r="AW20" s="72"/>
      <c r="AX20" s="73">
        <f>SUM(AT20:AV20)-H20</f>
        <v>48137.301393495625</v>
      </c>
      <c r="AY20" s="72"/>
      <c r="AZ20" s="72"/>
      <c r="BA20" s="72" t="s">
        <v>173</v>
      </c>
      <c r="BB20" s="75">
        <v>0.6408</v>
      </c>
      <c r="BC20" s="72"/>
    </row>
    <row r="21" spans="1:55" s="71" customFormat="1" ht="12.75">
      <c r="A21" s="71" t="s">
        <v>160</v>
      </c>
      <c r="B21" s="67"/>
      <c r="C21" s="67" t="s">
        <v>174</v>
      </c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81">
        <f>1118*41.868</f>
        <v>46808.424</v>
      </c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3">
        <f t="shared" si="0"/>
        <v>46808.424</v>
      </c>
      <c r="AU21" s="72"/>
      <c r="AV21" s="72"/>
      <c r="AW21" s="72"/>
      <c r="AX21" s="73">
        <f>SUM(AT21:AV21)-H21</f>
        <v>46808.424</v>
      </c>
      <c r="AY21" s="72"/>
      <c r="AZ21" s="72"/>
      <c r="BA21" s="72"/>
      <c r="BB21" s="72"/>
      <c r="BC21" s="72"/>
    </row>
    <row r="22" spans="9:55" s="71" customFormat="1" ht="12.75"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3"/>
      <c r="AU22" s="72"/>
      <c r="AV22" s="75"/>
      <c r="AW22" s="72"/>
      <c r="AX22" s="73"/>
      <c r="AY22" s="72"/>
      <c r="AZ22" s="72"/>
      <c r="BA22" s="72"/>
      <c r="BB22" s="72"/>
      <c r="BC22" s="72"/>
    </row>
    <row r="23" spans="1:55" s="71" customFormat="1" ht="12.75">
      <c r="A23" s="71" t="s">
        <v>162</v>
      </c>
      <c r="B23" s="67">
        <v>5</v>
      </c>
      <c r="C23" s="67" t="s">
        <v>103</v>
      </c>
      <c r="D23" s="72">
        <f>D18+D19+D26+D21</f>
        <v>7306.1312</v>
      </c>
      <c r="E23" s="72">
        <f aca="true" t="shared" si="9" ref="E23:T23">E18+E19+E26+E21</f>
        <v>466.33840000000004</v>
      </c>
      <c r="F23" s="72">
        <f t="shared" si="9"/>
        <v>66.36840000000001</v>
      </c>
      <c r="G23" s="72">
        <f t="shared" si="9"/>
        <v>22.038400000000003</v>
      </c>
      <c r="H23" s="72">
        <f>H18+H19+H26+H21</f>
        <v>13665.7152</v>
      </c>
      <c r="I23" s="72">
        <f t="shared" si="9"/>
        <v>4793.1884</v>
      </c>
      <c r="J23" s="72">
        <f t="shared" si="9"/>
        <v>492.172</v>
      </c>
      <c r="K23" s="72">
        <f t="shared" si="9"/>
        <v>131.1408</v>
      </c>
      <c r="L23" s="72">
        <f t="shared" si="9"/>
        <v>3011.7356</v>
      </c>
      <c r="M23" s="72">
        <f t="shared" si="9"/>
        <v>407.9828</v>
      </c>
      <c r="N23" s="72">
        <f t="shared" si="9"/>
        <v>278.6372</v>
      </c>
      <c r="O23" s="72">
        <f t="shared" si="9"/>
        <v>1622.9996</v>
      </c>
      <c r="P23" s="72">
        <f t="shared" si="9"/>
        <v>8483.130000000001</v>
      </c>
      <c r="Q23" s="72">
        <f t="shared" si="9"/>
        <v>1830.7876</v>
      </c>
      <c r="R23" s="72">
        <f t="shared" si="9"/>
        <v>231.0718</v>
      </c>
      <c r="S23" s="72">
        <f t="shared" si="9"/>
        <v>7227.5145999999995</v>
      </c>
      <c r="T23" s="72">
        <f t="shared" si="9"/>
        <v>745.664</v>
      </c>
      <c r="U23" s="72">
        <f aca="true" t="shared" si="10" ref="U23:AJ23">U18+U19+U26+U21</f>
        <v>19923.1238</v>
      </c>
      <c r="V23" s="72">
        <f t="shared" si="10"/>
        <v>5426.0682</v>
      </c>
      <c r="W23" s="72">
        <f t="shared" si="10"/>
        <v>9660.5256</v>
      </c>
      <c r="X23" s="72">
        <f t="shared" si="10"/>
        <v>4516.9872000000005</v>
      </c>
      <c r="Y23" s="72">
        <f t="shared" si="10"/>
        <v>9321.002</v>
      </c>
      <c r="Z23" s="72">
        <f t="shared" si="10"/>
        <v>6361.9812</v>
      </c>
      <c r="AA23" s="72">
        <f t="shared" si="10"/>
        <v>4583.965</v>
      </c>
      <c r="AB23" s="72">
        <f t="shared" si="10"/>
        <v>16728.203000000005</v>
      </c>
      <c r="AC23" s="72">
        <f t="shared" si="10"/>
        <v>11692.002600000002</v>
      </c>
      <c r="AD23" s="72">
        <f t="shared" si="10"/>
        <v>1169.4499999999998</v>
      </c>
      <c r="AE23" s="72">
        <f t="shared" si="10"/>
        <v>1283.672</v>
      </c>
      <c r="AF23" s="72">
        <f t="shared" si="10"/>
        <v>27529.97</v>
      </c>
      <c r="AG23" s="72">
        <f t="shared" si="10"/>
        <v>47157.7052</v>
      </c>
      <c r="AH23" s="72">
        <f t="shared" si="10"/>
        <v>2000.6048</v>
      </c>
      <c r="AI23" s="72">
        <f t="shared" si="10"/>
        <v>3404.4694</v>
      </c>
      <c r="AJ23" s="72">
        <f t="shared" si="10"/>
        <v>1163.8982</v>
      </c>
      <c r="AK23" s="72">
        <f aca="true" t="shared" si="11" ref="AK23:AQ23">AK18+AK19+AK26+AK21</f>
        <v>797.884</v>
      </c>
      <c r="AL23" s="72">
        <f t="shared" si="11"/>
        <v>10697.9732</v>
      </c>
      <c r="AM23" s="72">
        <f t="shared" si="11"/>
        <v>3708.7817999999997</v>
      </c>
      <c r="AN23" s="72">
        <f t="shared" si="11"/>
        <v>3317.928</v>
      </c>
      <c r="AO23" s="72">
        <f t="shared" si="11"/>
        <v>3468.0750000000003</v>
      </c>
      <c r="AP23" s="72">
        <f t="shared" si="11"/>
        <v>14655.4006</v>
      </c>
      <c r="AQ23" s="72">
        <f t="shared" si="11"/>
        <v>289.7864</v>
      </c>
      <c r="AR23" s="72"/>
      <c r="AS23" s="72"/>
      <c r="AT23" s="73">
        <f>SUM(D23:AS23)</f>
        <v>259642.0732</v>
      </c>
      <c r="AU23" s="72"/>
      <c r="AV23" s="75"/>
      <c r="AW23" s="72"/>
      <c r="AX23" s="73"/>
      <c r="AY23" s="72"/>
      <c r="AZ23" s="72"/>
      <c r="BA23" s="72"/>
      <c r="BB23" s="72"/>
      <c r="BC23" s="72"/>
    </row>
    <row r="24" spans="1:55" s="71" customFormat="1" ht="12.75">
      <c r="A24" s="71" t="s">
        <v>160</v>
      </c>
      <c r="B24" s="67"/>
      <c r="C24" s="67" t="s">
        <v>168</v>
      </c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3"/>
      <c r="AU24" s="72"/>
      <c r="AV24" s="75"/>
      <c r="AW24" s="72"/>
      <c r="AX24" s="73"/>
      <c r="AY24" s="72"/>
      <c r="AZ24" s="72"/>
      <c r="BA24" s="72"/>
      <c r="BB24" s="72"/>
      <c r="BC24" s="72"/>
    </row>
    <row r="25" spans="1:55" s="71" customFormat="1" ht="12.75">
      <c r="A25" s="71" t="s">
        <v>160</v>
      </c>
      <c r="B25" s="67"/>
      <c r="C25" s="67" t="s">
        <v>170</v>
      </c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3"/>
      <c r="AU25" s="72"/>
      <c r="AV25" s="75"/>
      <c r="AW25" s="72"/>
      <c r="AX25" s="73"/>
      <c r="AY25" s="72"/>
      <c r="AZ25" s="72"/>
      <c r="BA25" s="72"/>
      <c r="BB25" s="72"/>
      <c r="BC25" s="72"/>
    </row>
    <row r="26" spans="1:55" s="71" customFormat="1" ht="12.75">
      <c r="A26" s="71" t="s">
        <v>160</v>
      </c>
      <c r="B26" s="67"/>
      <c r="C26" s="67" t="s">
        <v>175</v>
      </c>
      <c r="D26" s="72">
        <f>3568*BB26</f>
        <v>2283.52</v>
      </c>
      <c r="E26" s="72">
        <v>0</v>
      </c>
      <c r="F26" s="72">
        <v>0</v>
      </c>
      <c r="G26" s="72">
        <v>0</v>
      </c>
      <c r="H26" s="72">
        <f>510*41.868*BB26</f>
        <v>13665.7152</v>
      </c>
      <c r="I26" s="72">
        <v>0</v>
      </c>
      <c r="J26" s="72">
        <v>0</v>
      </c>
      <c r="K26" s="72">
        <v>0</v>
      </c>
      <c r="L26" s="72">
        <f>18*BB26</f>
        <v>11.52</v>
      </c>
      <c r="M26" s="72">
        <v>0</v>
      </c>
      <c r="N26" s="72">
        <v>0</v>
      </c>
      <c r="O26" s="72">
        <v>0</v>
      </c>
      <c r="P26" s="72">
        <f>68*BB26</f>
        <v>43.52</v>
      </c>
      <c r="Q26" s="72">
        <v>0</v>
      </c>
      <c r="R26" s="72">
        <v>0</v>
      </c>
      <c r="S26" s="72">
        <f>121*BB26</f>
        <v>77.44</v>
      </c>
      <c r="T26" s="72">
        <v>0</v>
      </c>
      <c r="U26" s="72">
        <f>50*BB26</f>
        <v>32</v>
      </c>
      <c r="V26" s="72">
        <f>(87+146)*BB26</f>
        <v>149.12</v>
      </c>
      <c r="W26" s="72">
        <v>0</v>
      </c>
      <c r="X26" s="72">
        <v>0</v>
      </c>
      <c r="Y26" s="72">
        <f>10229*BB26</f>
        <v>6546.56</v>
      </c>
      <c r="Z26" s="72">
        <f>4744*BB26</f>
        <v>3036.16</v>
      </c>
      <c r="AA26" s="72">
        <f>2500*BB26</f>
        <v>1600</v>
      </c>
      <c r="AB26" s="72">
        <f>441*BB26</f>
        <v>282.24</v>
      </c>
      <c r="AC26" s="72">
        <v>0</v>
      </c>
      <c r="AD26" s="72">
        <f>750*BB26</f>
        <v>480</v>
      </c>
      <c r="AE26" s="72">
        <f>1831*BB26</f>
        <v>1171.84</v>
      </c>
      <c r="AF26" s="72">
        <f>(43119-1831)*BB26</f>
        <v>26424.32</v>
      </c>
      <c r="AG26" s="72">
        <v>0</v>
      </c>
      <c r="AH26" s="72">
        <v>0</v>
      </c>
      <c r="AI26" s="72">
        <v>0</v>
      </c>
      <c r="AJ26" s="72">
        <v>0</v>
      </c>
      <c r="AK26" s="72">
        <v>0</v>
      </c>
      <c r="AL26" s="72">
        <v>0</v>
      </c>
      <c r="AM26" s="72">
        <v>0</v>
      </c>
      <c r="AN26" s="72">
        <v>0</v>
      </c>
      <c r="AO26" s="72">
        <v>0</v>
      </c>
      <c r="AP26" s="72">
        <v>0</v>
      </c>
      <c r="AQ26" s="72">
        <v>0</v>
      </c>
      <c r="AR26" s="72"/>
      <c r="AS26" s="72"/>
      <c r="AT26" s="73">
        <f>SUM(D26:AS26)</f>
        <v>55803.955200000004</v>
      </c>
      <c r="AU26" s="72">
        <f>AU20</f>
        <v>5946.358887535358</v>
      </c>
      <c r="AV26" s="75"/>
      <c r="AW26" s="72"/>
      <c r="AX26" s="73">
        <f>SUM(AT26:AV26)-H26</f>
        <v>48084.598887535365</v>
      </c>
      <c r="AY26" s="72"/>
      <c r="AZ26" s="72"/>
      <c r="BA26" s="72"/>
      <c r="BB26" s="75">
        <v>0.64</v>
      </c>
      <c r="BC26" s="72"/>
    </row>
    <row r="27" spans="1:55" s="71" customFormat="1" ht="12.75">
      <c r="A27" s="71" t="s">
        <v>160</v>
      </c>
      <c r="B27" s="67"/>
      <c r="C27" s="67" t="s">
        <v>174</v>
      </c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3"/>
      <c r="AU27" s="72"/>
      <c r="AV27" s="75"/>
      <c r="AW27" s="72"/>
      <c r="AX27" s="73"/>
      <c r="AY27" s="72"/>
      <c r="AZ27" s="72"/>
      <c r="BA27" s="72"/>
      <c r="BB27" s="72"/>
      <c r="BC27" s="72"/>
    </row>
    <row r="28" spans="2:54" ht="12.75">
      <c r="B28" s="24"/>
      <c r="C28" s="27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33"/>
      <c r="AU28" s="72"/>
      <c r="AX28" s="20"/>
      <c r="AY28" s="33"/>
      <c r="BA28" s="39"/>
      <c r="BB28" s="21"/>
    </row>
    <row r="29" spans="2:51" ht="12.75">
      <c r="B29" s="24"/>
      <c r="C29" s="27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33"/>
      <c r="AX29" s="20"/>
      <c r="AY29" s="33"/>
    </row>
    <row r="30" spans="1:52" ht="12.75">
      <c r="A30" s="24" t="s">
        <v>99</v>
      </c>
      <c r="B30" s="24">
        <v>2</v>
      </c>
      <c r="C30" s="27" t="s">
        <v>78</v>
      </c>
      <c r="D30" s="23">
        <f>D31*Energber9095!$B$7/Energber9095!$B$8</f>
        <v>0.23227892625000002</v>
      </c>
      <c r="E30" s="23">
        <f>E31*Energber9095!$B$7/Energber9095!$B$8</f>
        <v>0.0258034765625</v>
      </c>
      <c r="F30" s="23">
        <f>F31*Energber9095!$B$7/Energber9095!$B$8</f>
        <v>0.15001347320312497</v>
      </c>
      <c r="G30" s="23">
        <f>G31*Energber9095!$B$7/Energber9095!$B$8</f>
        <v>0.15001347320312497</v>
      </c>
      <c r="H30" s="23">
        <f>H31*Energber9095!$B$7/Energber9095!$B$8</f>
        <v>0.15001347320312497</v>
      </c>
      <c r="I30" s="23">
        <f>I31*Energber9095!$B$7/Energber9095!$B$8</f>
        <v>0.159691761796875</v>
      </c>
      <c r="J30" s="23">
        <f>J31*Energber9095!$B$7/Energber9095!$B$8</f>
        <v>0.159691761796875</v>
      </c>
      <c r="K30" s="23">
        <f>K31*Energber9095!$B$7/Energber9095!$B$8</f>
        <v>0.15001347320312497</v>
      </c>
      <c r="L30" s="23">
        <f>L31*Energber9095!$B$7/Energber9095!$B$8</f>
        <v>0.15001347320312497</v>
      </c>
      <c r="M30" s="23">
        <f>M31*Energber9095!$B$7/Energber9095!$B$8</f>
        <v>0.159691761796875</v>
      </c>
      <c r="N30" s="23">
        <f>N31*Energber9095!$B$7/Energber9095!$B$8</f>
        <v>0.158790625</v>
      </c>
      <c r="O30" s="23">
        <f>O31*Energber9095!$B$7/Energber9095!$B$8</f>
        <v>0.158790625</v>
      </c>
      <c r="P30" s="23">
        <f>P31*Energber9095!$B$7/Energber9095!$B$8</f>
        <v>0.1111534375</v>
      </c>
      <c r="Q30" s="23">
        <f>Q31*Energber9095!$B$7/Energber9095!$B$8</f>
        <v>0.1270325</v>
      </c>
      <c r="R30" s="23">
        <f>R31*Energber9095!$B$7/Energber9095!$B$8</f>
        <v>0.1270325</v>
      </c>
      <c r="S30" s="23">
        <f>S31*Energber9095!$B$7/Energber9095!$B$8</f>
        <v>0.1111534375</v>
      </c>
      <c r="T30" s="23">
        <f>T31*Energber9095!$B$7/Energber9095!$B$8</f>
        <v>0.138941796875</v>
      </c>
      <c r="U30" s="23">
        <f>U31*Energber9095!$B$7/Energber9095!$B$8</f>
        <v>0.1270325</v>
      </c>
      <c r="V30" s="23">
        <f>V31*Energber9095!$B$7/Energber9095!$B$8</f>
        <v>0.159691761796875</v>
      </c>
      <c r="W30" s="23">
        <f>W31*Energber9095!$B$7/Energber9095!$B$8</f>
        <v>0.159691761796875</v>
      </c>
      <c r="X30" s="23">
        <f>X31*Energber9095!$B$7/Energber9095!$B$8</f>
        <v>0.18388748328124996</v>
      </c>
      <c r="Y30" s="23">
        <f>Y31*Energber9095!$B$7/Energber9095!$B$8</f>
        <v>0.217761493359375</v>
      </c>
      <c r="Z30" s="23">
        <f>Z31*Energber9095!$B$7/Energber9095!$B$8</f>
        <v>0.23227892625000002</v>
      </c>
      <c r="AA30" s="23">
        <f>AA31*Energber9095!$B$7/Energber9095!$B$8</f>
        <v>0.227439781953125</v>
      </c>
      <c r="AB30" s="23">
        <f>AB31*Energber9095!$B$7/Energber9095!$B$8</f>
        <v>0.23227892625000002</v>
      </c>
      <c r="AC30" s="23">
        <f>AC31*Energber9095!$B$7/Energber9095!$B$8</f>
        <v>0.227439781953125</v>
      </c>
      <c r="AD30" s="23">
        <f>AD31*Energber9095!$B$7/Energber9095!$B$8</f>
        <v>0.14517432890624998</v>
      </c>
      <c r="AE30" s="23">
        <f>AE31*Energber9095!$B$7/Energber9095!$B$8</f>
        <v>0.193565771875</v>
      </c>
      <c r="AF30" s="23">
        <f>AF31*Energber9095!$B$7/Energber9095!$B$8</f>
        <v>0.23227892625000002</v>
      </c>
      <c r="AG30" s="23">
        <f>AG31*Energber9095!$B$7/Energber9095!$B$8</f>
        <v>0.217761493359375</v>
      </c>
      <c r="AH30" s="23">
        <f>AH31*Energber9095!$B$7/Energber9095!$B$8</f>
        <v>0.217761493359375</v>
      </c>
      <c r="AI30" s="23">
        <f>AI31*Energber9095!$B$7/Energber9095!$B$8</f>
        <v>0.23227892625000002</v>
      </c>
      <c r="AJ30" s="23">
        <f>AJ31*Energber9095!$B$7/Energber9095!$B$8</f>
        <v>0.23227892625000002</v>
      </c>
      <c r="AK30" s="23">
        <f>AK31*Energber9095!$B$7/Energber9095!$B$8</f>
        <v>0.23227892625000002</v>
      </c>
      <c r="AL30" s="23">
        <f>AL31*Energber9095!$B$7/Energber9095!$B$8</f>
        <v>0.23227892625000002</v>
      </c>
      <c r="AM30" s="23">
        <f>AM31*Energber9095!$B$7/Energber9095!$B$8</f>
        <v>0.23227892625000002</v>
      </c>
      <c r="AN30" s="23">
        <f>AN31*Energber9095!$B$7/Energber9095!$B$8</f>
        <v>0.23227892625000002</v>
      </c>
      <c r="AO30" s="23">
        <f>AO31*Energber9095!$B$7/Energber9095!$B$8</f>
        <v>0.23227892625000002</v>
      </c>
      <c r="AP30" s="23">
        <f>AP31*Energber9095!$B$7/Energber9095!$B$8</f>
        <v>0.23227892625000002</v>
      </c>
      <c r="AQ30" s="23">
        <f>AQ31*Energber9095!$B$7/Energber9095!$B$8</f>
        <v>0.23227892625000002</v>
      </c>
      <c r="AT30" s="34">
        <f>AT31*Energber9095!$B$7/Energber9095!$B$8</f>
        <v>0.10879640597954392</v>
      </c>
      <c r="AU30" s="25">
        <f>AU31*Energber9095!$B$7/Energber9095!$B$8</f>
        <v>0.23227892625000002</v>
      </c>
      <c r="AV30" s="25"/>
      <c r="AW30" s="25">
        <f>Energber9095!B7</f>
        <v>0.0595</v>
      </c>
      <c r="AX30" s="64">
        <f>AX31*Energber9095!$B$7/Energber9095!$B$8</f>
        <v>0.19762459232311624</v>
      </c>
      <c r="AY30" s="36">
        <f>AY31*Energber9095!$B$7/Energber9095!$B$8</f>
        <v>0.11292502794505264</v>
      </c>
      <c r="AZ30" s="36">
        <f>AZ31*Energber9095!$B$7/Energber9095!$B$8</f>
        <v>0.05083118508619639</v>
      </c>
    </row>
    <row r="31" spans="1:54" ht="12.75">
      <c r="A31" s="24" t="s">
        <v>176</v>
      </c>
      <c r="B31" s="24">
        <v>2</v>
      </c>
      <c r="C31" s="24" t="str">
        <f>C12</f>
        <v>Elektrizität</v>
      </c>
      <c r="D31" s="19">
        <f>48000*$BB31</f>
        <v>58512.00000000001</v>
      </c>
      <c r="E31" s="24">
        <v>6500</v>
      </c>
      <c r="F31" s="19">
        <f>31000*$BB31</f>
        <v>37789</v>
      </c>
      <c r="G31" s="19">
        <f>31000*$BB31</f>
        <v>37789</v>
      </c>
      <c r="H31" s="19">
        <f>31000*$BB31</f>
        <v>37789</v>
      </c>
      <c r="I31" s="19">
        <f>33000*BB31</f>
        <v>40227</v>
      </c>
      <c r="J31" s="19">
        <f>33000*BB31</f>
        <v>40227</v>
      </c>
      <c r="K31" s="19">
        <f>31000*$BB31</f>
        <v>37789</v>
      </c>
      <c r="L31" s="19">
        <f>31000*$BB31</f>
        <v>37789</v>
      </c>
      <c r="M31" s="19">
        <f>33000*$BB31</f>
        <v>40227</v>
      </c>
      <c r="N31" s="19">
        <v>40000</v>
      </c>
      <c r="O31" s="19">
        <v>40000</v>
      </c>
      <c r="P31" s="19">
        <v>28000</v>
      </c>
      <c r="Q31" s="19">
        <v>32000</v>
      </c>
      <c r="R31" s="19">
        <v>32000</v>
      </c>
      <c r="S31" s="19">
        <v>28000</v>
      </c>
      <c r="T31" s="19">
        <v>35000</v>
      </c>
      <c r="U31" s="19">
        <v>32000</v>
      </c>
      <c r="V31" s="19">
        <f>33000*$BB31</f>
        <v>40227</v>
      </c>
      <c r="W31" s="19">
        <f>33000*$BB31</f>
        <v>40227</v>
      </c>
      <c r="X31" s="19">
        <f>38000*BB31</f>
        <v>46322</v>
      </c>
      <c r="Y31" s="19">
        <f>45000*$BB31</f>
        <v>54855.00000000001</v>
      </c>
      <c r="Z31" s="19">
        <f>48000*$BB31</f>
        <v>58512.00000000001</v>
      </c>
      <c r="AA31" s="19">
        <f>47000*$BB31</f>
        <v>57293.00000000001</v>
      </c>
      <c r="AB31" s="19">
        <f>48000*$BB31</f>
        <v>58512.00000000001</v>
      </c>
      <c r="AC31" s="19">
        <f>47000*$BB31</f>
        <v>57293.00000000001</v>
      </c>
      <c r="AD31" s="19">
        <f>30000*$BB31</f>
        <v>36570</v>
      </c>
      <c r="AE31" s="19">
        <f>40000*$BB31</f>
        <v>48760</v>
      </c>
      <c r="AF31" s="19">
        <f>48000*$BB31</f>
        <v>58512.00000000001</v>
      </c>
      <c r="AG31" s="19">
        <f>45000*$BB31</f>
        <v>54855.00000000001</v>
      </c>
      <c r="AH31" s="19">
        <f>45000*$BB31</f>
        <v>54855.00000000001</v>
      </c>
      <c r="AI31" s="19">
        <f aca="true" t="shared" si="12" ref="AI31:AQ31">48000*$BB31</f>
        <v>58512.00000000001</v>
      </c>
      <c r="AJ31" s="19">
        <f t="shared" si="12"/>
        <v>58512.00000000001</v>
      </c>
      <c r="AK31" s="19">
        <f t="shared" si="12"/>
        <v>58512.00000000001</v>
      </c>
      <c r="AL31" s="19">
        <f t="shared" si="12"/>
        <v>58512.00000000001</v>
      </c>
      <c r="AM31" s="19">
        <f t="shared" si="12"/>
        <v>58512.00000000001</v>
      </c>
      <c r="AN31" s="19">
        <f t="shared" si="12"/>
        <v>58512.00000000001</v>
      </c>
      <c r="AO31" s="19">
        <f t="shared" si="12"/>
        <v>58512.00000000001</v>
      </c>
      <c r="AP31" s="19">
        <f t="shared" si="12"/>
        <v>58512.00000000001</v>
      </c>
      <c r="AQ31" s="19">
        <f t="shared" si="12"/>
        <v>58512.00000000001</v>
      </c>
      <c r="AT31" s="32">
        <f>AT41/AT12*10^6</f>
        <v>27406.25423687171</v>
      </c>
      <c r="AU31" s="19">
        <f>48000*$BB31</f>
        <v>58512.00000000001</v>
      </c>
      <c r="AW31" s="24">
        <f>Energber9095!B8</f>
        <v>14988.290398126464</v>
      </c>
      <c r="AX31" s="63">
        <f>AX41/AX13*10^6</f>
        <v>49782.4332697516</v>
      </c>
      <c r="AY31" s="62">
        <f>AY41/AY13*10^6</f>
        <v>28446.27079087387</v>
      </c>
      <c r="AZ31" s="24">
        <f>AZ41*10^6/AZ13</f>
        <v>12804.58089668616</v>
      </c>
      <c r="BB31" s="19">
        <v>1.219</v>
      </c>
    </row>
    <row r="32" spans="1:52" ht="12.75">
      <c r="A32" s="24" t="s">
        <v>176</v>
      </c>
      <c r="B32" s="24">
        <f>B14</f>
        <v>3</v>
      </c>
      <c r="C32" s="24" t="str">
        <f>C14</f>
        <v>Gas</v>
      </c>
      <c r="D32" s="19">
        <f>D31*0.33</f>
        <v>19308.960000000003</v>
      </c>
      <c r="E32" s="19">
        <v>7000</v>
      </c>
      <c r="F32" s="19">
        <v>5000</v>
      </c>
      <c r="G32" s="19">
        <f aca="true" t="shared" si="13" ref="G32:R32">G31*0.3</f>
        <v>11336.699999999999</v>
      </c>
      <c r="H32" s="19">
        <f t="shared" si="13"/>
        <v>11336.699999999999</v>
      </c>
      <c r="I32" s="19">
        <f t="shared" si="13"/>
        <v>12068.1</v>
      </c>
      <c r="J32" s="19">
        <f t="shared" si="13"/>
        <v>12068.1</v>
      </c>
      <c r="K32" s="19">
        <f t="shared" si="13"/>
        <v>11336.699999999999</v>
      </c>
      <c r="L32" s="19">
        <f t="shared" si="13"/>
        <v>11336.699999999999</v>
      </c>
      <c r="M32" s="19">
        <f t="shared" si="13"/>
        <v>12068.1</v>
      </c>
      <c r="N32" s="19">
        <f t="shared" si="13"/>
        <v>12000</v>
      </c>
      <c r="O32" s="19">
        <f t="shared" si="13"/>
        <v>12000</v>
      </c>
      <c r="P32" s="19">
        <f t="shared" si="13"/>
        <v>8400</v>
      </c>
      <c r="Q32" s="19">
        <f t="shared" si="13"/>
        <v>9600</v>
      </c>
      <c r="R32" s="19">
        <f t="shared" si="13"/>
        <v>9600</v>
      </c>
      <c r="S32" s="19">
        <f>S31*0.28</f>
        <v>7840.000000000001</v>
      </c>
      <c r="T32" s="19">
        <f>T31*0.3</f>
        <v>10500</v>
      </c>
      <c r="U32" s="19">
        <f>U31*0.3</f>
        <v>9600</v>
      </c>
      <c r="V32" s="19">
        <f>V31*0.3</f>
        <v>12068.1</v>
      </c>
      <c r="W32" s="19">
        <f>W31*0.3</f>
        <v>12068.1</v>
      </c>
      <c r="X32" s="19">
        <f>X31*0.3</f>
        <v>13896.6</v>
      </c>
      <c r="Y32" s="19">
        <f aca="true" t="shared" si="14" ref="Y32:AK32">Y31*0.35</f>
        <v>19199.25</v>
      </c>
      <c r="Z32" s="19">
        <f t="shared" si="14"/>
        <v>20479.2</v>
      </c>
      <c r="AA32" s="19">
        <f t="shared" si="14"/>
        <v>20052.550000000003</v>
      </c>
      <c r="AB32" s="19">
        <f t="shared" si="14"/>
        <v>20479.2</v>
      </c>
      <c r="AC32" s="19">
        <f t="shared" si="14"/>
        <v>20052.550000000003</v>
      </c>
      <c r="AD32" s="19">
        <f t="shared" si="14"/>
        <v>12799.5</v>
      </c>
      <c r="AE32" s="19">
        <f t="shared" si="14"/>
        <v>17066</v>
      </c>
      <c r="AF32" s="19">
        <f t="shared" si="14"/>
        <v>20479.2</v>
      </c>
      <c r="AG32" s="19">
        <f t="shared" si="14"/>
        <v>19199.25</v>
      </c>
      <c r="AH32" s="19">
        <f t="shared" si="14"/>
        <v>19199.25</v>
      </c>
      <c r="AI32" s="19">
        <f t="shared" si="14"/>
        <v>20479.2</v>
      </c>
      <c r="AJ32" s="19">
        <f t="shared" si="14"/>
        <v>20479.2</v>
      </c>
      <c r="AK32" s="19">
        <f t="shared" si="14"/>
        <v>20479.2</v>
      </c>
      <c r="AL32" s="19">
        <f aca="true" t="shared" si="15" ref="AL32:AQ32">AL31*0.35</f>
        <v>20479.2</v>
      </c>
      <c r="AM32" s="19">
        <f t="shared" si="15"/>
        <v>20479.2</v>
      </c>
      <c r="AN32" s="19">
        <f t="shared" si="15"/>
        <v>20479.2</v>
      </c>
      <c r="AO32" s="19">
        <f t="shared" si="15"/>
        <v>20479.2</v>
      </c>
      <c r="AP32" s="19">
        <f t="shared" si="15"/>
        <v>20479.2</v>
      </c>
      <c r="AQ32" s="19">
        <f t="shared" si="15"/>
        <v>20479.2</v>
      </c>
      <c r="AT32" s="37">
        <f>AT42*10^6/AT15</f>
        <v>18906.64342065401</v>
      </c>
      <c r="AU32" s="24">
        <f>AU31*0.395</f>
        <v>23112.240000000005</v>
      </c>
      <c r="AV32" s="19">
        <v>15400</v>
      </c>
      <c r="AW32" s="19">
        <v>12150</v>
      </c>
      <c r="AX32" s="63">
        <f>AX42/AX15*10^6</f>
        <v>16844.448721447425</v>
      </c>
      <c r="AY32" s="62">
        <f>AY42/AY15*10^6</f>
        <v>20645.016890999275</v>
      </c>
      <c r="AZ32" s="76">
        <f>AZ42*10^6/AZ15</f>
        <v>6480.992608236536</v>
      </c>
    </row>
    <row r="33" spans="1:52" ht="12.75">
      <c r="A33" s="19" t="s">
        <v>177</v>
      </c>
      <c r="B33" s="24">
        <f>B16</f>
        <v>4</v>
      </c>
      <c r="C33" s="24" t="str">
        <f>C16</f>
        <v>Wasser</v>
      </c>
      <c r="D33" s="23">
        <v>1.29</v>
      </c>
      <c r="E33" s="23">
        <v>0.79</v>
      </c>
      <c r="F33" s="23">
        <v>0.79</v>
      </c>
      <c r="G33" s="23">
        <v>0.5</v>
      </c>
      <c r="H33" s="23">
        <f aca="true" t="shared" si="16" ref="H33:W33">H32/10500</f>
        <v>1.0796857142857141</v>
      </c>
      <c r="I33" s="23">
        <f t="shared" si="16"/>
        <v>1.1493428571428572</v>
      </c>
      <c r="J33" s="23">
        <f t="shared" si="16"/>
        <v>1.1493428571428572</v>
      </c>
      <c r="K33" s="23">
        <f t="shared" si="16"/>
        <v>1.0796857142857141</v>
      </c>
      <c r="L33" s="23">
        <f t="shared" si="16"/>
        <v>1.0796857142857141</v>
      </c>
      <c r="M33" s="23">
        <f t="shared" si="16"/>
        <v>1.1493428571428572</v>
      </c>
      <c r="N33" s="23">
        <f t="shared" si="16"/>
        <v>1.1428571428571428</v>
      </c>
      <c r="O33" s="23">
        <f t="shared" si="16"/>
        <v>1.1428571428571428</v>
      </c>
      <c r="P33" s="23">
        <f t="shared" si="16"/>
        <v>0.8</v>
      </c>
      <c r="Q33" s="23">
        <f t="shared" si="16"/>
        <v>0.9142857142857143</v>
      </c>
      <c r="R33" s="23">
        <f t="shared" si="16"/>
        <v>0.9142857142857143</v>
      </c>
      <c r="S33" s="23">
        <f t="shared" si="16"/>
        <v>0.7466666666666667</v>
      </c>
      <c r="T33" s="23">
        <f t="shared" si="16"/>
        <v>1</v>
      </c>
      <c r="U33" s="23">
        <f t="shared" si="16"/>
        <v>0.9142857142857143</v>
      </c>
      <c r="V33" s="23">
        <f t="shared" si="16"/>
        <v>1.1493428571428572</v>
      </c>
      <c r="W33" s="23">
        <f t="shared" si="16"/>
        <v>1.1493428571428572</v>
      </c>
      <c r="X33" s="23">
        <f aca="true" t="shared" si="17" ref="X33:AH33">X32/10500</f>
        <v>1.3234857142857144</v>
      </c>
      <c r="Y33" s="23">
        <f t="shared" si="17"/>
        <v>1.8285</v>
      </c>
      <c r="Z33" s="23">
        <v>1.29</v>
      </c>
      <c r="AA33" s="23">
        <f t="shared" si="17"/>
        <v>1.9097666666666668</v>
      </c>
      <c r="AB33" s="23">
        <v>1.29</v>
      </c>
      <c r="AC33" s="23">
        <f t="shared" si="17"/>
        <v>1.9097666666666668</v>
      </c>
      <c r="AD33" s="23">
        <f t="shared" si="17"/>
        <v>1.219</v>
      </c>
      <c r="AE33" s="23">
        <f t="shared" si="17"/>
        <v>1.6253333333333333</v>
      </c>
      <c r="AF33" s="23">
        <v>1.29</v>
      </c>
      <c r="AG33" s="23">
        <f t="shared" si="17"/>
        <v>1.8285</v>
      </c>
      <c r="AH33" s="23">
        <f t="shared" si="17"/>
        <v>1.8285</v>
      </c>
      <c r="AI33" s="23">
        <v>1.29</v>
      </c>
      <c r="AJ33" s="23">
        <v>1.29</v>
      </c>
      <c r="AK33" s="23">
        <v>1.29</v>
      </c>
      <c r="AL33" s="23">
        <v>1.29</v>
      </c>
      <c r="AM33" s="23">
        <v>1.29</v>
      </c>
      <c r="AN33" s="23">
        <v>1.29</v>
      </c>
      <c r="AO33" s="23">
        <v>1.29</v>
      </c>
      <c r="AP33" s="23">
        <v>1.29</v>
      </c>
      <c r="AQ33" s="23">
        <v>1.29</v>
      </c>
      <c r="AR33" s="23"/>
      <c r="AS33" s="23"/>
      <c r="AT33" s="34">
        <f>AT43/AT16</f>
        <v>1.0693989575697522</v>
      </c>
      <c r="AU33" s="23">
        <v>1.29</v>
      </c>
      <c r="AV33" s="23"/>
      <c r="AW33" s="23">
        <v>0</v>
      </c>
      <c r="AX33" s="34">
        <f>AX43/AX16</f>
        <v>1.2897481404630613</v>
      </c>
      <c r="AY33" s="36">
        <f>AY43/AY16</f>
        <v>1.2061594963680757</v>
      </c>
      <c r="AZ33" s="23">
        <v>0</v>
      </c>
    </row>
    <row r="34" spans="1:55" s="71" customFormat="1" ht="12.75">
      <c r="A34" s="70" t="s">
        <v>176</v>
      </c>
      <c r="B34" s="71">
        <v>5</v>
      </c>
      <c r="C34" s="71" t="s">
        <v>103</v>
      </c>
      <c r="D34" s="72">
        <f aca="true" t="shared" si="18" ref="D34:M34">D44/D17*10^6</f>
        <v>10876.26958872573</v>
      </c>
      <c r="E34" s="72">
        <f t="shared" si="18"/>
        <v>20235.977023517942</v>
      </c>
      <c r="F34" s="72">
        <f t="shared" si="18"/>
        <v>20109.275641790406</v>
      </c>
      <c r="G34" s="72">
        <f t="shared" si="18"/>
        <v>19849.929896941612</v>
      </c>
      <c r="H34" s="72">
        <f t="shared" si="18"/>
        <v>0</v>
      </c>
      <c r="I34" s="72">
        <f t="shared" si="18"/>
        <v>15213.805001861434</v>
      </c>
      <c r="J34" s="72">
        <f t="shared" si="18"/>
        <v>16624.55231931741</v>
      </c>
      <c r="K34" s="72">
        <f t="shared" si="18"/>
        <v>14881.466562014974</v>
      </c>
      <c r="L34" s="72">
        <f t="shared" si="18"/>
        <v>14759.075601072946</v>
      </c>
      <c r="M34" s="72">
        <f t="shared" si="18"/>
        <v>20213.838875234615</v>
      </c>
      <c r="N34" s="72">
        <f aca="true" t="shared" si="19" ref="N34:W34">N44/N17*10^6</f>
        <v>21308.09973280042</v>
      </c>
      <c r="O34" s="72">
        <f t="shared" si="19"/>
        <v>18540.251989532775</v>
      </c>
      <c r="P34" s="72">
        <f t="shared" si="19"/>
        <v>6073.1896141174675</v>
      </c>
      <c r="Q34" s="72">
        <f t="shared" si="19"/>
        <v>17165.71542999156</v>
      </c>
      <c r="R34" s="72">
        <f t="shared" si="19"/>
        <v>15261.200962400339</v>
      </c>
      <c r="S34" s="72">
        <f t="shared" si="19"/>
        <v>9476.159455126146</v>
      </c>
      <c r="T34" s="72">
        <f t="shared" si="19"/>
        <v>17159.7889454045</v>
      </c>
      <c r="U34" s="72">
        <f t="shared" si="19"/>
        <v>6561.570479228614</v>
      </c>
      <c r="V34" s="72">
        <f t="shared" si="19"/>
        <v>14274.642085227679</v>
      </c>
      <c r="W34" s="72">
        <f t="shared" si="19"/>
        <v>13790.566619598</v>
      </c>
      <c r="X34" s="72">
        <f aca="true" t="shared" si="20" ref="X34:AG34">X44/X17*10^6</f>
        <v>20649.801699328436</v>
      </c>
      <c r="Y34" s="72">
        <f t="shared" si="20"/>
        <v>8975.828032812125</v>
      </c>
      <c r="Z34" s="72">
        <f t="shared" si="20"/>
        <v>15395.331602452194</v>
      </c>
      <c r="AA34" s="72">
        <f t="shared" si="20"/>
        <v>15467.770275901004</v>
      </c>
      <c r="AB34" s="72">
        <f t="shared" si="20"/>
        <v>13608.00045651405</v>
      </c>
      <c r="AC34" s="72">
        <f t="shared" si="20"/>
        <v>7340.933125858183</v>
      </c>
      <c r="AD34" s="72">
        <f t="shared" si="20"/>
        <v>13737.202001794794</v>
      </c>
      <c r="AE34" s="72">
        <f t="shared" si="20"/>
        <v>9854.813283690886</v>
      </c>
      <c r="AF34" s="72">
        <f t="shared" si="20"/>
        <v>23310.029121312873</v>
      </c>
      <c r="AG34" s="72">
        <f t="shared" si="20"/>
        <v>5517.315812460696</v>
      </c>
      <c r="AH34" s="72">
        <f aca="true" t="shared" si="21" ref="AH34:AQ34">AH44/AH17*10^6</f>
        <v>17028.74925116645</v>
      </c>
      <c r="AI34" s="72">
        <f t="shared" si="21"/>
        <v>17890.14050390349</v>
      </c>
      <c r="AJ34" s="72">
        <f t="shared" si="21"/>
        <v>19276.25048180331</v>
      </c>
      <c r="AK34" s="72">
        <f t="shared" si="21"/>
        <v>14025.843395280517</v>
      </c>
      <c r="AL34" s="72">
        <f t="shared" si="21"/>
        <v>14035.15993630644</v>
      </c>
      <c r="AM34" s="72">
        <f t="shared" si="21"/>
        <v>9824.496328492552</v>
      </c>
      <c r="AN34" s="72">
        <f t="shared" si="21"/>
        <v>12196.873005381673</v>
      </c>
      <c r="AO34" s="72">
        <f t="shared" si="21"/>
        <v>19343.489646331174</v>
      </c>
      <c r="AP34" s="72">
        <f t="shared" si="21"/>
        <v>14933.275153171864</v>
      </c>
      <c r="AQ34" s="72">
        <f t="shared" si="21"/>
        <v>19265.440345854742</v>
      </c>
      <c r="AR34" s="72"/>
      <c r="AS34" s="72"/>
      <c r="AT34" s="73">
        <f>AT44/AT17*10^6</f>
        <v>7791.28873399988</v>
      </c>
      <c r="AU34" s="72">
        <f>AU44/AU17*10^6</f>
        <v>17350.021698068904</v>
      </c>
      <c r="AV34" s="72">
        <v>15000</v>
      </c>
      <c r="AW34" s="72">
        <f>AW44/AW17*10^6</f>
        <v>6842.232450446501</v>
      </c>
      <c r="AX34" s="73">
        <f>AX44/AX17*10^6</f>
        <v>14838.370464763566</v>
      </c>
      <c r="AY34" s="72">
        <f>AY44/AY17*10^6</f>
        <v>11851.206072827435</v>
      </c>
      <c r="AZ34" s="72">
        <f>AZ44/AZ17*10^6</f>
        <v>12888.134939283276</v>
      </c>
      <c r="BA34" s="72"/>
      <c r="BB34" s="72"/>
      <c r="BC34" s="72"/>
    </row>
    <row r="35" spans="1:55" s="71" customFormat="1" ht="12.75">
      <c r="A35" s="70" t="s">
        <v>176</v>
      </c>
      <c r="C35" s="71" t="s">
        <v>168</v>
      </c>
      <c r="D35" s="71">
        <f>8120*$BB35</f>
        <v>6252.400000000001</v>
      </c>
      <c r="E35" s="71">
        <f>8120*$BB35</f>
        <v>6252.400000000001</v>
      </c>
      <c r="F35" s="71">
        <f>8120*$BB35</f>
        <v>6252.400000000001</v>
      </c>
      <c r="G35" s="71">
        <f>8120*$BB35</f>
        <v>6252.400000000001</v>
      </c>
      <c r="H35" s="72">
        <f>258000/41.868</f>
        <v>6162.224132989395</v>
      </c>
      <c r="I35" s="71">
        <f>6853*$BB35</f>
        <v>5276.81</v>
      </c>
      <c r="J35" s="71">
        <f>7159*$BB35</f>
        <v>5512.43</v>
      </c>
      <c r="K35" s="71">
        <f>8120*$BB35</f>
        <v>6252.400000000001</v>
      </c>
      <c r="L35" s="71">
        <f>6640*$BB35</f>
        <v>5112.8</v>
      </c>
      <c r="M35" s="71">
        <f>8120*$BB35</f>
        <v>6252.400000000001</v>
      </c>
      <c r="N35" s="71">
        <f>8120*$BB35</f>
        <v>6252.400000000001</v>
      </c>
      <c r="O35" s="71">
        <f>8120*$BB35</f>
        <v>6252.400000000001</v>
      </c>
      <c r="P35" s="71">
        <f>6000*$BB35</f>
        <v>4620</v>
      </c>
      <c r="Q35" s="71">
        <f>8120*$BB35</f>
        <v>6252.400000000001</v>
      </c>
      <c r="R35" s="71">
        <f>6663*$BB35</f>
        <v>5130.51</v>
      </c>
      <c r="S35" s="71">
        <f>6859*$BB35</f>
        <v>5281.43</v>
      </c>
      <c r="T35" s="71">
        <f>8120*$BB35</f>
        <v>6252.400000000001</v>
      </c>
      <c r="U35" s="71">
        <f>7670*$BB35</f>
        <v>5905.900000000001</v>
      </c>
      <c r="V35" s="71">
        <f>7130*$BB35</f>
        <v>5490.1</v>
      </c>
      <c r="W35" s="71">
        <f>7130*$BB35</f>
        <v>5490.1</v>
      </c>
      <c r="X35" s="71">
        <f aca="true" t="shared" si="22" ref="X35:AM35">8120*$BB35</f>
        <v>6252.400000000001</v>
      </c>
      <c r="Y35" s="71">
        <f t="shared" si="22"/>
        <v>6252.400000000001</v>
      </c>
      <c r="Z35" s="71">
        <f t="shared" si="22"/>
        <v>6252.400000000001</v>
      </c>
      <c r="AA35" s="71">
        <f t="shared" si="22"/>
        <v>6252.400000000001</v>
      </c>
      <c r="AB35" s="71">
        <f t="shared" si="22"/>
        <v>6252.400000000001</v>
      </c>
      <c r="AC35" s="71">
        <f t="shared" si="22"/>
        <v>6252.400000000001</v>
      </c>
      <c r="AD35" s="71">
        <f t="shared" si="22"/>
        <v>6252.400000000001</v>
      </c>
      <c r="AE35" s="71">
        <f t="shared" si="22"/>
        <v>6252.400000000001</v>
      </c>
      <c r="AF35" s="71">
        <f t="shared" si="22"/>
        <v>6252.400000000001</v>
      </c>
      <c r="AG35" s="71">
        <f t="shared" si="22"/>
        <v>6252.400000000001</v>
      </c>
      <c r="AH35" s="71">
        <f t="shared" si="22"/>
        <v>6252.400000000001</v>
      </c>
      <c r="AI35" s="71">
        <f t="shared" si="22"/>
        <v>6252.400000000001</v>
      </c>
      <c r="AJ35" s="71">
        <f t="shared" si="22"/>
        <v>6252.400000000001</v>
      </c>
      <c r="AK35" s="71">
        <f t="shared" si="22"/>
        <v>6252.400000000001</v>
      </c>
      <c r="AL35" s="71">
        <f t="shared" si="22"/>
        <v>6252.400000000001</v>
      </c>
      <c r="AM35" s="71">
        <f t="shared" si="22"/>
        <v>6252.400000000001</v>
      </c>
      <c r="AN35" s="71">
        <f>8120*$BB35</f>
        <v>6252.400000000001</v>
      </c>
      <c r="AO35" s="71">
        <f>8120*$BB35</f>
        <v>6252.400000000001</v>
      </c>
      <c r="AP35" s="71">
        <f>8120*$BB35</f>
        <v>6252.400000000001</v>
      </c>
      <c r="AQ35" s="71">
        <f>8120*$BB35</f>
        <v>6252.400000000001</v>
      </c>
      <c r="AT35" s="73">
        <f>AT45/AT18*10^6</f>
        <v>5910.944998889075</v>
      </c>
      <c r="AU35" s="72">
        <f>10363*$BB35</f>
        <v>7979.51</v>
      </c>
      <c r="AV35" s="72"/>
      <c r="AW35" s="72"/>
      <c r="AX35" s="73"/>
      <c r="AY35" s="72"/>
      <c r="AZ35" s="72"/>
      <c r="BA35" s="72"/>
      <c r="BB35" s="100">
        <f>BB36</f>
        <v>0.77</v>
      </c>
      <c r="BC35" s="72"/>
    </row>
    <row r="36" spans="1:55" s="71" customFormat="1" ht="12.75">
      <c r="A36" s="70" t="s">
        <v>176</v>
      </c>
      <c r="C36" s="71" t="s">
        <v>170</v>
      </c>
      <c r="D36" s="71">
        <f>31000*$BB36</f>
        <v>23870</v>
      </c>
      <c r="E36" s="72">
        <f>33830*$BB36</f>
        <v>26049.100000000002</v>
      </c>
      <c r="F36" s="72">
        <f>33830*$BB36</f>
        <v>26049.100000000002</v>
      </c>
      <c r="G36" s="72">
        <f>33830*$BB36</f>
        <v>26049.100000000002</v>
      </c>
      <c r="H36" s="72">
        <f>258000/41.868</f>
        <v>6162.224132989395</v>
      </c>
      <c r="I36" s="72">
        <f aca="true" t="shared" si="23" ref="I36:O36">33830*$BB36</f>
        <v>26049.100000000002</v>
      </c>
      <c r="J36" s="72">
        <f t="shared" si="23"/>
        <v>26049.100000000002</v>
      </c>
      <c r="K36" s="72">
        <f t="shared" si="23"/>
        <v>26049.100000000002</v>
      </c>
      <c r="L36" s="72">
        <f t="shared" si="23"/>
        <v>26049.100000000002</v>
      </c>
      <c r="M36" s="72">
        <f t="shared" si="23"/>
        <v>26049.100000000002</v>
      </c>
      <c r="N36" s="72">
        <f t="shared" si="23"/>
        <v>26049.100000000002</v>
      </c>
      <c r="O36" s="72">
        <f t="shared" si="23"/>
        <v>26049.100000000002</v>
      </c>
      <c r="P36" s="72">
        <f aca="true" t="shared" si="24" ref="P36:AD36">33830*$BB36</f>
        <v>26049.100000000002</v>
      </c>
      <c r="Q36" s="72">
        <f t="shared" si="24"/>
        <v>26049.100000000002</v>
      </c>
      <c r="R36" s="72">
        <f t="shared" si="24"/>
        <v>26049.100000000002</v>
      </c>
      <c r="S36" s="72">
        <f t="shared" si="24"/>
        <v>26049.100000000002</v>
      </c>
      <c r="T36" s="72">
        <f t="shared" si="24"/>
        <v>26049.100000000002</v>
      </c>
      <c r="U36" s="72">
        <f t="shared" si="24"/>
        <v>26049.100000000002</v>
      </c>
      <c r="V36" s="72">
        <f t="shared" si="24"/>
        <v>26049.100000000002</v>
      </c>
      <c r="W36" s="72">
        <f t="shared" si="24"/>
        <v>26049.100000000002</v>
      </c>
      <c r="X36" s="72">
        <f t="shared" si="24"/>
        <v>26049.100000000002</v>
      </c>
      <c r="Y36" s="72">
        <f t="shared" si="24"/>
        <v>26049.100000000002</v>
      </c>
      <c r="Z36" s="72">
        <f t="shared" si="24"/>
        <v>26049.100000000002</v>
      </c>
      <c r="AA36" s="72">
        <f t="shared" si="24"/>
        <v>26049.100000000002</v>
      </c>
      <c r="AB36" s="72">
        <f t="shared" si="24"/>
        <v>26049.100000000002</v>
      </c>
      <c r="AC36" s="72">
        <f t="shared" si="24"/>
        <v>26049.100000000002</v>
      </c>
      <c r="AD36" s="72">
        <f t="shared" si="24"/>
        <v>26049.100000000002</v>
      </c>
      <c r="AE36" s="71">
        <f>31000*$BB36</f>
        <v>23870</v>
      </c>
      <c r="AF36" s="72">
        <f>33830*$BB36</f>
        <v>26049.100000000002</v>
      </c>
      <c r="AG36" s="72">
        <f>33830*$BB36</f>
        <v>26049.100000000002</v>
      </c>
      <c r="AH36" s="72">
        <f>33830*$BB36</f>
        <v>26049.100000000002</v>
      </c>
      <c r="AI36" s="72">
        <f aca="true" t="shared" si="25" ref="AI36:AQ36">33830*$BB36</f>
        <v>26049.100000000002</v>
      </c>
      <c r="AJ36" s="72">
        <f t="shared" si="25"/>
        <v>26049.100000000002</v>
      </c>
      <c r="AK36" s="72">
        <f t="shared" si="25"/>
        <v>26049.100000000002</v>
      </c>
      <c r="AL36" s="72">
        <f t="shared" si="25"/>
        <v>26049.100000000002</v>
      </c>
      <c r="AM36" s="72">
        <f t="shared" si="25"/>
        <v>26049.100000000002</v>
      </c>
      <c r="AN36" s="72">
        <f t="shared" si="25"/>
        <v>26049.100000000002</v>
      </c>
      <c r="AO36" s="72">
        <f t="shared" si="25"/>
        <v>26049.100000000002</v>
      </c>
      <c r="AP36" s="72">
        <f t="shared" si="25"/>
        <v>26049.100000000002</v>
      </c>
      <c r="AQ36" s="72">
        <f t="shared" si="25"/>
        <v>26049.100000000002</v>
      </c>
      <c r="AT36" s="73">
        <f>AT46/AT19*10^6</f>
        <v>25999.150323296795</v>
      </c>
      <c r="AU36" s="72">
        <f>33830*$BB36</f>
        <v>26049.100000000002</v>
      </c>
      <c r="AV36" s="72"/>
      <c r="AW36" s="72"/>
      <c r="AX36" s="73"/>
      <c r="AY36" s="72"/>
      <c r="AZ36" s="72"/>
      <c r="BA36"/>
      <c r="BB36" s="100">
        <v>0.77</v>
      </c>
      <c r="BC36" s="72"/>
    </row>
    <row r="37" spans="1:54" s="71" customFormat="1" ht="12.75">
      <c r="A37" s="70" t="s">
        <v>176</v>
      </c>
      <c r="C37" s="67" t="s">
        <v>178</v>
      </c>
      <c r="D37" s="72">
        <f>31450*10.54/25.2</f>
        <v>13154.087301587302</v>
      </c>
      <c r="E37" s="72">
        <f>31450*$BB37</f>
        <v>24216.5</v>
      </c>
      <c r="F37" s="72">
        <f>31450*$BB37</f>
        <v>24216.5</v>
      </c>
      <c r="G37" s="72">
        <f>31450*$BB37</f>
        <v>24216.5</v>
      </c>
      <c r="H37" s="72">
        <f>258000/41.868</f>
        <v>6162.224132989395</v>
      </c>
      <c r="I37" s="72">
        <f aca="true" t="shared" si="26" ref="I37:Q37">31450*$BB37</f>
        <v>24216.5</v>
      </c>
      <c r="J37" s="72">
        <f t="shared" si="26"/>
        <v>24216.5</v>
      </c>
      <c r="K37" s="72">
        <f t="shared" si="26"/>
        <v>24216.5</v>
      </c>
      <c r="L37" s="72">
        <f t="shared" si="26"/>
        <v>24216.5</v>
      </c>
      <c r="M37" s="72">
        <f t="shared" si="26"/>
        <v>24216.5</v>
      </c>
      <c r="N37" s="72">
        <f t="shared" si="26"/>
        <v>24216.5</v>
      </c>
      <c r="O37" s="72">
        <f t="shared" si="26"/>
        <v>24216.5</v>
      </c>
      <c r="P37" s="72">
        <f t="shared" si="26"/>
        <v>24216.5</v>
      </c>
      <c r="Q37" s="72">
        <f t="shared" si="26"/>
        <v>24216.5</v>
      </c>
      <c r="R37" s="72">
        <f aca="true" t="shared" si="27" ref="R37:X37">31450*$BB37</f>
        <v>24216.5</v>
      </c>
      <c r="S37" s="72">
        <f t="shared" si="27"/>
        <v>24216.5</v>
      </c>
      <c r="T37" s="72">
        <f t="shared" si="27"/>
        <v>24216.5</v>
      </c>
      <c r="U37" s="72">
        <f t="shared" si="27"/>
        <v>24216.5</v>
      </c>
      <c r="V37" s="72">
        <f t="shared" si="27"/>
        <v>24216.5</v>
      </c>
      <c r="W37" s="72">
        <f t="shared" si="27"/>
        <v>24216.5</v>
      </c>
      <c r="X37" s="72">
        <f t="shared" si="27"/>
        <v>24216.5</v>
      </c>
      <c r="Y37" s="72">
        <f>13154*$BB37</f>
        <v>10128.58</v>
      </c>
      <c r="Z37" s="72">
        <f>13154*$BB37</f>
        <v>10128.58</v>
      </c>
      <c r="AA37" s="72">
        <f>31450*$BB37</f>
        <v>24216.5</v>
      </c>
      <c r="AB37" s="72">
        <f>31450*$BB37</f>
        <v>24216.5</v>
      </c>
      <c r="AC37" s="72">
        <f>31450*$BB37</f>
        <v>24216.5</v>
      </c>
      <c r="AD37" s="72">
        <f>31450*$BB37</f>
        <v>24216.5</v>
      </c>
      <c r="AE37" s="71">
        <f>13000*BB37</f>
        <v>10010</v>
      </c>
      <c r="AF37" s="72">
        <f>31450*$BB37</f>
        <v>24216.5</v>
      </c>
      <c r="AG37" s="71">
        <f>31450*0.5*BB37</f>
        <v>12108.25</v>
      </c>
      <c r="AH37" s="72">
        <f aca="true" t="shared" si="28" ref="AH37:AQ37">31450*$BB37</f>
        <v>24216.5</v>
      </c>
      <c r="AI37" s="72">
        <f t="shared" si="28"/>
        <v>24216.5</v>
      </c>
      <c r="AJ37" s="72">
        <f t="shared" si="28"/>
        <v>24216.5</v>
      </c>
      <c r="AK37" s="72">
        <f t="shared" si="28"/>
        <v>24216.5</v>
      </c>
      <c r="AL37" s="72">
        <f t="shared" si="28"/>
        <v>24216.5</v>
      </c>
      <c r="AM37" s="72">
        <f t="shared" si="28"/>
        <v>24216.5</v>
      </c>
      <c r="AN37" s="72">
        <f t="shared" si="28"/>
        <v>24216.5</v>
      </c>
      <c r="AO37" s="72">
        <f t="shared" si="28"/>
        <v>24216.5</v>
      </c>
      <c r="AP37" s="72">
        <f t="shared" si="28"/>
        <v>24216.5</v>
      </c>
      <c r="AQ37" s="72">
        <f t="shared" si="28"/>
        <v>24216.5</v>
      </c>
      <c r="AT37" s="73">
        <f>AT47/AT20*10^6</f>
        <v>20018.213046154357</v>
      </c>
      <c r="AU37" s="72">
        <f>31450*$BB37</f>
        <v>24216.5</v>
      </c>
      <c r="AX37" s="66"/>
      <c r="BB37" s="100">
        <f>BB36</f>
        <v>0.77</v>
      </c>
    </row>
    <row r="38" spans="1:50" s="71" customFormat="1" ht="12.75">
      <c r="A38" s="67" t="s">
        <v>176</v>
      </c>
      <c r="C38" s="71" t="s">
        <v>174</v>
      </c>
      <c r="H38" s="72"/>
      <c r="AG38" s="71">
        <f>7130*BB35</f>
        <v>5490.1</v>
      </c>
      <c r="AT38" s="73">
        <f>AT48/AT21*10^6</f>
        <v>5490.099999999999</v>
      </c>
      <c r="AX38" s="66"/>
    </row>
    <row r="39" spans="1:50" s="71" customFormat="1" ht="12.75">
      <c r="A39" s="67"/>
      <c r="H39" s="72"/>
      <c r="AT39" s="73"/>
      <c r="AX39" s="66"/>
    </row>
    <row r="40" spans="2:51" ht="12.75">
      <c r="B40" s="24"/>
      <c r="C40" s="24"/>
      <c r="AT40" s="33"/>
      <c r="AX40" s="20"/>
      <c r="AY40" s="35"/>
    </row>
    <row r="41" spans="1:52" s="24" customFormat="1" ht="12.75">
      <c r="A41" s="24" t="s">
        <v>179</v>
      </c>
      <c r="B41" s="24">
        <v>2</v>
      </c>
      <c r="C41" s="24" t="str">
        <f>C31</f>
        <v>Elektrizität</v>
      </c>
      <c r="D41" s="27">
        <f aca="true" t="shared" si="29" ref="D41:S41">D13*D31*10^-6</f>
        <v>185.07345600000002</v>
      </c>
      <c r="E41" s="49">
        <f t="shared" si="29"/>
        <v>659.62</v>
      </c>
      <c r="F41" s="49">
        <f t="shared" si="29"/>
        <v>18.818922</v>
      </c>
      <c r="G41" s="49">
        <f t="shared" si="29"/>
        <v>26.452299999999997</v>
      </c>
      <c r="H41" s="27">
        <f t="shared" si="29"/>
        <v>7.520010999999999</v>
      </c>
      <c r="I41" s="27">
        <f t="shared" si="29"/>
        <v>126.18891621783084</v>
      </c>
      <c r="J41" s="27">
        <f t="shared" si="29"/>
        <v>27.679681725390907</v>
      </c>
      <c r="K41" s="27">
        <f t="shared" si="29"/>
        <v>16.55127862909474</v>
      </c>
      <c r="L41" s="27">
        <f t="shared" si="29"/>
        <v>180.177952</v>
      </c>
      <c r="M41" s="27">
        <f t="shared" si="29"/>
        <v>12.832412999999999</v>
      </c>
      <c r="N41" s="27">
        <f t="shared" si="29"/>
        <v>11.677518756436033</v>
      </c>
      <c r="O41" s="27">
        <f t="shared" si="29"/>
        <v>98.80248124356396</v>
      </c>
      <c r="P41" s="27">
        <f t="shared" si="29"/>
        <v>184.828</v>
      </c>
      <c r="Q41" s="27">
        <f t="shared" si="29"/>
        <v>39.007999999999996</v>
      </c>
      <c r="R41" s="27">
        <f t="shared" si="29"/>
        <v>2.2399999999999998</v>
      </c>
      <c r="S41" s="27">
        <f t="shared" si="29"/>
        <v>276.21999999999997</v>
      </c>
      <c r="T41" s="27">
        <f aca="true" t="shared" si="30" ref="T41:AI41">T13*T31*10^-6</f>
        <v>78.39999999999999</v>
      </c>
      <c r="U41" s="27">
        <f t="shared" si="30"/>
        <v>113.056</v>
      </c>
      <c r="V41" s="27">
        <f t="shared" si="30"/>
        <v>460.19687999999996</v>
      </c>
      <c r="W41" s="27">
        <f t="shared" si="30"/>
        <v>159.781644</v>
      </c>
      <c r="X41" s="27">
        <f t="shared" si="30"/>
        <v>134.426444</v>
      </c>
      <c r="Y41" s="27">
        <f t="shared" si="30"/>
        <v>159.46348500000002</v>
      </c>
      <c r="Z41" s="27">
        <f t="shared" si="30"/>
        <v>64.012128</v>
      </c>
      <c r="AA41" s="27">
        <f t="shared" si="30"/>
        <v>63.423351000000004</v>
      </c>
      <c r="AB41" s="27">
        <f t="shared" si="30"/>
        <v>598.8703200000001</v>
      </c>
      <c r="AC41" s="27">
        <f t="shared" si="30"/>
        <v>373.49306700000005</v>
      </c>
      <c r="AD41" s="27">
        <f t="shared" si="30"/>
        <v>322.14513</v>
      </c>
      <c r="AE41" s="27">
        <f t="shared" si="30"/>
        <v>53.78228</v>
      </c>
      <c r="AF41" s="27">
        <f t="shared" si="30"/>
        <v>29.256000000000004</v>
      </c>
      <c r="AG41" s="27">
        <f t="shared" si="30"/>
        <v>27.427500000000002</v>
      </c>
      <c r="AH41" s="27">
        <f t="shared" si="30"/>
        <v>46.25448407933866</v>
      </c>
      <c r="AI41" s="27">
        <f t="shared" si="30"/>
        <v>135.42209438636152</v>
      </c>
      <c r="AJ41" s="27">
        <f aca="true" t="shared" si="31" ref="AJ41:AP41">AJ13*AJ31*10^-6</f>
        <v>59.0132816136385</v>
      </c>
      <c r="AK41" s="27">
        <f t="shared" si="31"/>
        <v>178.31177550855577</v>
      </c>
      <c r="AL41" s="27">
        <f t="shared" si="31"/>
        <v>245.4676547683926</v>
      </c>
      <c r="AM41" s="27">
        <f t="shared" si="31"/>
        <v>219.88809600000002</v>
      </c>
      <c r="AN41" s="27">
        <f t="shared" si="31"/>
        <v>153.18441600000003</v>
      </c>
      <c r="AO41" s="27">
        <f t="shared" si="31"/>
        <v>63.895104</v>
      </c>
      <c r="AP41" s="27">
        <f t="shared" si="31"/>
        <v>266.81742613737015</v>
      </c>
      <c r="AQ41" s="27">
        <f>AQ13*AQ31*10^-6</f>
        <v>8.609043234387006</v>
      </c>
      <c r="AR41" s="27"/>
      <c r="AS41" s="27"/>
      <c r="AT41" s="29">
        <f>SUM(D41:AS41)</f>
        <v>5888.288535300361</v>
      </c>
      <c r="AU41" s="27">
        <f>AU13*AU31*10^-6</f>
        <v>2783.4158400000006</v>
      </c>
      <c r="AV41" s="27"/>
      <c r="AW41" s="27">
        <f>Energber9095!B4</f>
        <v>1344</v>
      </c>
      <c r="AX41" s="65">
        <f>AY41-AW41-E41</f>
        <v>8012.084375300362</v>
      </c>
      <c r="AY41" s="58">
        <f>SUM(AT41:AW41)</f>
        <v>10015.704375300362</v>
      </c>
      <c r="AZ41" s="77">
        <f>Energber9095!B10</f>
        <v>1051</v>
      </c>
    </row>
    <row r="42" spans="1:52" ht="12.75">
      <c r="A42" s="24" t="s">
        <v>179</v>
      </c>
      <c r="B42" s="24">
        <f>B32</f>
        <v>3</v>
      </c>
      <c r="C42" s="24" t="str">
        <f>C32</f>
        <v>Gas</v>
      </c>
      <c r="D42" s="27">
        <f>D15*D32*10^-6</f>
        <v>3.6300844800000003</v>
      </c>
      <c r="E42" s="49">
        <f aca="true" t="shared" si="32" ref="E42:T42">E15*E32*10^-6</f>
        <v>1.393</v>
      </c>
      <c r="F42" s="49">
        <f>F15*F32*10^-6+559/2</f>
        <v>285.5</v>
      </c>
      <c r="G42" s="49">
        <f t="shared" si="32"/>
        <v>1.0203029999999997</v>
      </c>
      <c r="H42" s="27">
        <f t="shared" si="32"/>
        <v>0.22673399999999996</v>
      </c>
      <c r="I42" s="27">
        <f t="shared" si="32"/>
        <v>35.46295485981546</v>
      </c>
      <c r="J42" s="27">
        <f t="shared" si="32"/>
        <v>7.99418816333598</v>
      </c>
      <c r="K42" s="27">
        <f t="shared" si="32"/>
        <v>5.702440020675919</v>
      </c>
      <c r="L42" s="27">
        <f t="shared" si="32"/>
        <v>15.066474299999998</v>
      </c>
      <c r="M42" s="27">
        <f t="shared" si="32"/>
        <v>2.9325483</v>
      </c>
      <c r="N42" s="27">
        <f t="shared" si="32"/>
        <v>0.9246463982739176</v>
      </c>
      <c r="O42" s="27">
        <f t="shared" si="32"/>
        <v>7.823353601726082</v>
      </c>
      <c r="P42" s="27">
        <f t="shared" si="32"/>
        <v>23.8644</v>
      </c>
      <c r="Q42" s="27">
        <f t="shared" si="32"/>
        <v>9.216</v>
      </c>
      <c r="R42" s="27">
        <f t="shared" si="32"/>
        <v>4.118399999999999</v>
      </c>
      <c r="S42" s="27">
        <f t="shared" si="32"/>
        <v>72.27696000000002</v>
      </c>
      <c r="T42" s="27">
        <f t="shared" si="32"/>
        <v>4.5045</v>
      </c>
      <c r="U42" s="27">
        <f aca="true" t="shared" si="33" ref="U42:AJ42">U15*U32*10^-6</f>
        <v>32.4096</v>
      </c>
      <c r="V42" s="27">
        <f t="shared" si="33"/>
        <v>45.701894700000004</v>
      </c>
      <c r="W42" s="27">
        <f t="shared" si="33"/>
        <v>22.748368499999998</v>
      </c>
      <c r="X42" s="27">
        <f t="shared" si="33"/>
        <v>31.406316</v>
      </c>
      <c r="Y42" s="27">
        <f t="shared" si="33"/>
        <v>6.2205569999999994</v>
      </c>
      <c r="Z42" s="27">
        <f t="shared" si="33"/>
        <v>3.6248183999999997</v>
      </c>
      <c r="AA42" s="27">
        <f t="shared" si="33"/>
        <v>9.40464595</v>
      </c>
      <c r="AB42" s="27">
        <f t="shared" si="33"/>
        <v>30.7802376</v>
      </c>
      <c r="AC42" s="27">
        <f t="shared" si="33"/>
        <v>35.87401195</v>
      </c>
      <c r="AD42" s="27">
        <f t="shared" si="33"/>
        <v>7.6796999999999995</v>
      </c>
      <c r="AE42" s="27">
        <f t="shared" si="33"/>
        <v>2.04792</v>
      </c>
      <c r="AF42" s="27">
        <f t="shared" si="33"/>
        <v>1.02396</v>
      </c>
      <c r="AG42" s="27">
        <f t="shared" si="33"/>
        <v>23.039099999999998</v>
      </c>
      <c r="AH42" s="27">
        <f t="shared" si="33"/>
        <v>7.1046690944851525</v>
      </c>
      <c r="AI42" s="27">
        <f t="shared" si="33"/>
        <v>8.47778924496185</v>
      </c>
      <c r="AJ42" s="27">
        <f t="shared" si="33"/>
        <v>2.7243331550381513</v>
      </c>
      <c r="AK42" s="27">
        <f aca="true" t="shared" si="34" ref="AK42:AQ42">AK15*AK32*10^-6</f>
        <v>27.38861292810952</v>
      </c>
      <c r="AL42" s="27">
        <f t="shared" si="34"/>
        <v>24.22259994343875</v>
      </c>
      <c r="AM42" s="27">
        <f t="shared" si="34"/>
        <v>32.8076784</v>
      </c>
      <c r="AN42" s="27">
        <f t="shared" si="34"/>
        <v>19.967219999999998</v>
      </c>
      <c r="AO42" s="27">
        <f t="shared" si="34"/>
        <v>17.448278400000003</v>
      </c>
      <c r="AP42" s="27">
        <f t="shared" si="34"/>
        <v>40.983043246071205</v>
      </c>
      <c r="AQ42" s="27">
        <f t="shared" si="34"/>
        <v>1.3223453815963608</v>
      </c>
      <c r="AR42" s="27"/>
      <c r="AS42" s="27"/>
      <c r="AT42" s="29">
        <f>SUM(D42:AS42)</f>
        <v>916.0646870175283</v>
      </c>
      <c r="AU42" s="27">
        <f>AU15*AU32*10^-6</f>
        <v>580.1172240000001</v>
      </c>
      <c r="AV42" s="27">
        <f>3.9-89.7</f>
        <v>-85.8</v>
      </c>
      <c r="AW42" s="27">
        <f>1353.9-AW41</f>
        <v>9.900000000000091</v>
      </c>
      <c r="AX42" s="65">
        <f>AY42-AW42-F42</f>
        <v>1124.8819110175284</v>
      </c>
      <c r="AY42" s="58">
        <f>SUM(AT42:AW42)</f>
        <v>1420.2819110175285</v>
      </c>
      <c r="AZ42" s="77">
        <f>Energber9095!C10</f>
        <v>491</v>
      </c>
    </row>
    <row r="43" spans="1:52" ht="12.75">
      <c r="A43" s="24" t="s">
        <v>179</v>
      </c>
      <c r="B43" s="24">
        <f>B33</f>
        <v>4</v>
      </c>
      <c r="C43" s="24" t="str">
        <f>C33</f>
        <v>Wasser</v>
      </c>
      <c r="D43" s="27">
        <v>25.0848717948718</v>
      </c>
      <c r="E43" s="49">
        <v>5</v>
      </c>
      <c r="F43" s="49">
        <v>3</v>
      </c>
      <c r="G43" s="49">
        <v>62</v>
      </c>
      <c r="H43" s="27">
        <v>0.6</v>
      </c>
      <c r="I43" s="27">
        <v>40.1</v>
      </c>
      <c r="J43" s="27">
        <v>9.1</v>
      </c>
      <c r="K43" s="27">
        <v>2.3162393162393164</v>
      </c>
      <c r="L43" s="27">
        <v>6.601282051282052</v>
      </c>
      <c r="M43" s="27">
        <v>3.3585470085470086</v>
      </c>
      <c r="N43" s="27">
        <v>0.4632478632478633</v>
      </c>
      <c r="O43" s="27">
        <v>1.5055555555555558</v>
      </c>
      <c r="P43" s="27">
        <v>4.864102564102565</v>
      </c>
      <c r="Q43" s="27">
        <v>4.285042735042736</v>
      </c>
      <c r="R43" s="27">
        <v>0.4632478632478633</v>
      </c>
      <c r="S43" s="27">
        <v>14.93974358974359</v>
      </c>
      <c r="T43" s="27">
        <v>1.1581196581196582</v>
      </c>
      <c r="U43" s="27">
        <v>3.4743589743589745</v>
      </c>
      <c r="V43" s="27">
        <v>12.73931623931624</v>
      </c>
      <c r="W43" s="27">
        <v>18.182478632478634</v>
      </c>
      <c r="X43" s="27">
        <v>16.213675213675216</v>
      </c>
      <c r="Y43" s="27">
        <v>17.024358974358975</v>
      </c>
      <c r="Z43" s="27">
        <v>3.937606837606838</v>
      </c>
      <c r="AA43" s="27">
        <v>13.55</v>
      </c>
      <c r="AB43" s="27">
        <v>26.86837606837607</v>
      </c>
      <c r="AC43" s="27">
        <v>69.8</v>
      </c>
      <c r="AD43" s="27">
        <v>2.3162393162393164</v>
      </c>
      <c r="AE43" s="27">
        <v>3.1269230769230774</v>
      </c>
      <c r="AF43" s="27">
        <v>2.3162393162393164</v>
      </c>
      <c r="AG43" s="27">
        <v>3.4743589743589745</v>
      </c>
      <c r="AH43" s="27">
        <v>2.3162393162393164</v>
      </c>
      <c r="AI43" s="27">
        <v>4.516666666666667</v>
      </c>
      <c r="AJ43" s="27">
        <v>2.3162393162393164</v>
      </c>
      <c r="AK43" s="27">
        <v>3.4743589743589745</v>
      </c>
      <c r="AL43" s="27">
        <v>3.7</v>
      </c>
      <c r="AM43" s="27">
        <v>3.9052952991453</v>
      </c>
      <c r="AN43" s="27">
        <v>58</v>
      </c>
      <c r="AO43" s="27">
        <v>5.674786324786326</v>
      </c>
      <c r="AP43" s="27">
        <v>13.188296068376069</v>
      </c>
      <c r="AQ43" s="27">
        <v>1.2</v>
      </c>
      <c r="AR43" s="27"/>
      <c r="AS43" s="27"/>
      <c r="AT43" s="29">
        <f>SUM(D43:AS43)</f>
        <v>476.15581358974356</v>
      </c>
      <c r="AU43" s="27">
        <f>AU16*AU33</f>
        <v>936.9274643999998</v>
      </c>
      <c r="AV43" s="27"/>
      <c r="AW43" s="27">
        <v>0</v>
      </c>
      <c r="AX43" s="65">
        <f>AY43-AW43-G43</f>
        <v>1351.0832779897435</v>
      </c>
      <c r="AY43" s="58">
        <f>SUM(AT43:AW43)</f>
        <v>1413.0832779897435</v>
      </c>
      <c r="AZ43" s="27">
        <v>0</v>
      </c>
    </row>
    <row r="44" spans="1:52" s="71" customFormat="1" ht="12.75">
      <c r="A44" s="71" t="s">
        <v>179</v>
      </c>
      <c r="B44" s="71">
        <v>5</v>
      </c>
      <c r="C44" s="71" t="s">
        <v>180</v>
      </c>
      <c r="D44" s="78">
        <f aca="true" t="shared" si="35" ref="D44:M44">SUM(D45:D48)</f>
        <v>79.49449780571429</v>
      </c>
      <c r="E44" s="78">
        <f t="shared" si="35"/>
        <v>9.543887726641408</v>
      </c>
      <c r="F44" s="78">
        <f t="shared" si="35"/>
        <v>1.3430287768840241</v>
      </c>
      <c r="G44" s="78">
        <f t="shared" si="35"/>
        <v>0.44635749217415827</v>
      </c>
      <c r="H44" s="78">
        <f t="shared" si="35"/>
        <v>0</v>
      </c>
      <c r="I44" s="78">
        <f t="shared" si="35"/>
        <v>92.39678746921871</v>
      </c>
      <c r="J44" s="78">
        <f t="shared" si="35"/>
        <v>8.323157482508064</v>
      </c>
      <c r="K44" s="78">
        <f t="shared" si="35"/>
        <v>2.0153603372991125</v>
      </c>
      <c r="L44" s="78">
        <f t="shared" si="35"/>
        <v>45.10101467649942</v>
      </c>
      <c r="M44" s="78">
        <f t="shared" si="35"/>
        <v>8.321208418573725</v>
      </c>
      <c r="N44" s="78">
        <f aca="true" t="shared" si="36" ref="N44:W44">SUM(N45:N48)</f>
        <v>14.678808665767981</v>
      </c>
      <c r="O44" s="78">
        <f t="shared" si="36"/>
        <v>38.26403083016976</v>
      </c>
      <c r="P44" s="78">
        <f t="shared" si="36"/>
        <v>51.5402109670354</v>
      </c>
      <c r="Q44" s="78">
        <f t="shared" si="36"/>
        <v>32.17236390481045</v>
      </c>
      <c r="R44" s="78">
        <f t="shared" si="36"/>
        <v>3.9864148070621668</v>
      </c>
      <c r="S44" s="78">
        <f t="shared" si="36"/>
        <v>71.42626074003692</v>
      </c>
      <c r="T44" s="78">
        <f t="shared" si="36"/>
        <v>14.17283274528791</v>
      </c>
      <c r="U44" s="78">
        <f t="shared" si="36"/>
        <v>131.1986018161319</v>
      </c>
      <c r="V44" s="78">
        <f t="shared" si="36"/>
        <v>93.01664167900518</v>
      </c>
      <c r="W44" s="78">
        <f t="shared" si="36"/>
        <v>149.72854664947167</v>
      </c>
      <c r="X44" s="78">
        <f aca="true" t="shared" si="37" ref="X44:AG44">SUM(X45:X48)</f>
        <v>104.81150311088982</v>
      </c>
      <c r="Y44" s="78">
        <f t="shared" si="37"/>
        <v>83.737162041456</v>
      </c>
      <c r="Z44" s="78">
        <f t="shared" si="37"/>
        <v>98.00211100045755</v>
      </c>
      <c r="AA44" s="78">
        <f t="shared" si="37"/>
        <v>94.772405112</v>
      </c>
      <c r="AB44" s="78">
        <f t="shared" si="37"/>
        <v>252.31109389640005</v>
      </c>
      <c r="AC44" s="78">
        <f t="shared" si="37"/>
        <v>85.83020919396002</v>
      </c>
      <c r="AD44" s="78">
        <f t="shared" si="37"/>
        <v>16.073213202199998</v>
      </c>
      <c r="AE44" s="78">
        <f t="shared" si="37"/>
        <v>12.664783208</v>
      </c>
      <c r="AF44" s="78">
        <f t="shared" si="37"/>
        <v>434.19763985478676</v>
      </c>
      <c r="AG44" s="78">
        <f t="shared" si="37"/>
        <v>260.18395257931996</v>
      </c>
      <c r="AH44" s="78">
        <f aca="true" t="shared" si="38" ref="AH44:AQ44">SUM(AH45:AH48)</f>
        <v>34.06779748988</v>
      </c>
      <c r="AI44" s="78">
        <f t="shared" si="38"/>
        <v>60.90643590724001</v>
      </c>
      <c r="AJ44" s="78">
        <f t="shared" si="38"/>
        <v>22.435593238520003</v>
      </c>
      <c r="AK44" s="78">
        <f t="shared" si="38"/>
        <v>11.190996031600001</v>
      </c>
      <c r="AL44" s="78">
        <f t="shared" si="38"/>
        <v>150.14776485632</v>
      </c>
      <c r="AM44" s="78">
        <f t="shared" si="38"/>
        <v>36.43691317728</v>
      </c>
      <c r="AN44" s="78">
        <f t="shared" si="38"/>
        <v>40.468346457</v>
      </c>
      <c r="AO44" s="78">
        <f t="shared" si="38"/>
        <v>67.0846728552</v>
      </c>
      <c r="AP44" s="78">
        <f t="shared" si="38"/>
        <v>218.85312963976003</v>
      </c>
      <c r="AQ44" s="78">
        <f t="shared" si="38"/>
        <v>5.5828626022400005</v>
      </c>
      <c r="AR44" s="78"/>
      <c r="AS44" s="78"/>
      <c r="AT44" s="79">
        <f aca="true" t="shared" si="39" ref="AT44:AT52">SUM(D44:AS44)</f>
        <v>2936.9285984448024</v>
      </c>
      <c r="AU44" s="78">
        <f>SUM(AU45:AU47)</f>
        <v>4951.1753778</v>
      </c>
      <c r="AV44" s="78">
        <f>-3+AV17*AV34*10^-6</f>
        <v>-3.753624</v>
      </c>
      <c r="AW44" s="78">
        <v>48.7</v>
      </c>
      <c r="AX44" s="79">
        <f>AY44-H44-AW44</f>
        <v>7884.350352244803</v>
      </c>
      <c r="AY44" s="78">
        <f>SUM(AT44:AW44)</f>
        <v>7933.0503522448025</v>
      </c>
      <c r="AZ44" s="27">
        <v>6968.4</v>
      </c>
    </row>
    <row r="45" spans="1:50" s="71" customFormat="1" ht="12.75">
      <c r="A45" s="71" t="s">
        <v>179</v>
      </c>
      <c r="C45" s="71" t="s">
        <v>168</v>
      </c>
      <c r="D45" s="78">
        <f aca="true" t="shared" si="40" ref="D45:M47">D18*D35*10^-6</f>
        <v>25.009600000000002</v>
      </c>
      <c r="E45" s="78">
        <f t="shared" si="40"/>
        <v>0.8628312</v>
      </c>
      <c r="F45" s="78">
        <f t="shared" si="40"/>
        <v>0.12504800000000002</v>
      </c>
      <c r="G45" s="78">
        <f t="shared" si="40"/>
        <v>0.0437668</v>
      </c>
      <c r="H45" s="78">
        <f>H18*H35*10^-6</f>
        <v>0</v>
      </c>
      <c r="I45" s="78">
        <f t="shared" si="40"/>
        <v>16.12065455</v>
      </c>
      <c r="J45" s="78">
        <f t="shared" si="40"/>
        <v>1.26234647</v>
      </c>
      <c r="K45" s="78">
        <f t="shared" si="40"/>
        <v>0.4751824</v>
      </c>
      <c r="L45" s="78">
        <f t="shared" si="40"/>
        <v>8.4003304</v>
      </c>
      <c r="M45" s="78">
        <f t="shared" si="40"/>
        <v>0.7565404</v>
      </c>
      <c r="N45" s="78">
        <f aca="true" t="shared" si="41" ref="N45:W47">N18*N35*10^-6</f>
        <v>0.7940548000000001</v>
      </c>
      <c r="O45" s="78">
        <f t="shared" si="41"/>
        <v>4.639280800000001</v>
      </c>
      <c r="P45" s="78">
        <f t="shared" si="41"/>
        <v>36.530339999999995</v>
      </c>
      <c r="Q45" s="78">
        <f t="shared" si="41"/>
        <v>5.233258800000001</v>
      </c>
      <c r="R45" s="78">
        <f t="shared" si="41"/>
        <v>0.67758132519</v>
      </c>
      <c r="S45" s="78">
        <f t="shared" si="41"/>
        <v>31.58738251977</v>
      </c>
      <c r="T45" s="78">
        <f t="shared" si="41"/>
        <v>2.2723597512</v>
      </c>
      <c r="U45" s="78">
        <f t="shared" si="41"/>
        <v>114.18882244770002</v>
      </c>
      <c r="V45" s="78">
        <f t="shared" si="41"/>
        <v>19.8822379371</v>
      </c>
      <c r="W45" s="78">
        <f t="shared" si="41"/>
        <v>34.9561035516</v>
      </c>
      <c r="X45" s="78">
        <f aca="true" t="shared" si="42" ref="X45:AG47">X18*X35*10^-6</f>
        <v>8.3319857544</v>
      </c>
      <c r="Y45" s="78">
        <f t="shared" si="42"/>
        <v>17.3469211608</v>
      </c>
      <c r="Z45" s="78">
        <f t="shared" si="42"/>
        <v>6.134129601600001</v>
      </c>
      <c r="AA45" s="78">
        <f t="shared" si="42"/>
        <v>18.656942766</v>
      </c>
      <c r="AB45" s="78">
        <f t="shared" si="42"/>
        <v>71.6414184948</v>
      </c>
      <c r="AC45" s="78">
        <f t="shared" si="42"/>
        <v>69.08346161640002</v>
      </c>
      <c r="AD45" s="78">
        <f t="shared" si="42"/>
        <v>4.2715396415999995</v>
      </c>
      <c r="AE45" s="78">
        <f t="shared" si="42"/>
        <v>0.62086332</v>
      </c>
      <c r="AF45" s="78">
        <f t="shared" si="42"/>
        <v>5.9727051384</v>
      </c>
      <c r="AG45" s="78">
        <f t="shared" si="42"/>
        <v>1.86258996</v>
      </c>
      <c r="AH45" s="78">
        <f aca="true" t="shared" si="43" ref="AH45:AQ47">AH18*AH35*10^-6</f>
        <v>5.6995252776</v>
      </c>
      <c r="AI45" s="78">
        <f t="shared" si="43"/>
        <v>8.7727987116</v>
      </c>
      <c r="AJ45" s="78">
        <f t="shared" si="43"/>
        <v>2.4896619132000004</v>
      </c>
      <c r="AK45" s="78">
        <f t="shared" si="43"/>
        <v>3.0298130016</v>
      </c>
      <c r="AL45" s="78">
        <f t="shared" si="43"/>
        <v>40.592043861600004</v>
      </c>
      <c r="AM45" s="78">
        <f t="shared" si="43"/>
        <v>19.0046262252</v>
      </c>
      <c r="AN45" s="78">
        <f t="shared" si="43"/>
        <v>14.515784421600001</v>
      </c>
      <c r="AO45" s="78">
        <f t="shared" si="43"/>
        <v>7.3448130756</v>
      </c>
      <c r="AP45" s="78">
        <f t="shared" si="43"/>
        <v>51.4509433284</v>
      </c>
      <c r="AQ45" s="78">
        <f t="shared" si="43"/>
        <v>0.62086332</v>
      </c>
      <c r="AR45" s="78"/>
      <c r="AS45" s="78"/>
      <c r="AT45" s="79">
        <f t="shared" si="39"/>
        <v>661.26115274296</v>
      </c>
      <c r="AU45" s="78">
        <f>AU18*AU35*10^-6</f>
        <v>1091.4373778</v>
      </c>
      <c r="AX45" s="66"/>
    </row>
    <row r="46" spans="1:53" s="71" customFormat="1" ht="12.75">
      <c r="A46" s="71" t="s">
        <v>179</v>
      </c>
      <c r="C46" s="71" t="s">
        <v>170</v>
      </c>
      <c r="D46" s="78">
        <f t="shared" si="40"/>
        <v>24.409729344</v>
      </c>
      <c r="E46" s="78">
        <f t="shared" si="40"/>
        <v>8.552919815440001</v>
      </c>
      <c r="F46" s="78">
        <f t="shared" si="40"/>
        <v>1.2078550884400001</v>
      </c>
      <c r="G46" s="78">
        <f t="shared" si="40"/>
        <v>0.39173678544000007</v>
      </c>
      <c r="H46" s="78">
        <f t="shared" si="40"/>
        <v>0</v>
      </c>
      <c r="I46" s="78">
        <f t="shared" si="40"/>
        <v>45.27824345044001</v>
      </c>
      <c r="J46" s="78">
        <f t="shared" si="40"/>
        <v>6.8553937452000016</v>
      </c>
      <c r="K46" s="78">
        <f t="shared" si="40"/>
        <v>1.4363682132800002</v>
      </c>
      <c r="L46" s="78">
        <f t="shared" si="40"/>
        <v>35.35424488596001</v>
      </c>
      <c r="M46" s="78">
        <f t="shared" si="40"/>
        <v>7.47564365548</v>
      </c>
      <c r="N46" s="78">
        <f t="shared" si="41"/>
        <v>3.95001258652</v>
      </c>
      <c r="O46" s="78">
        <f t="shared" si="41"/>
        <v>22.94924668036</v>
      </c>
      <c r="P46" s="78">
        <f t="shared" si="41"/>
        <v>13.874011151000001</v>
      </c>
      <c r="Q46" s="78">
        <f t="shared" si="41"/>
        <v>25.887272571160004</v>
      </c>
      <c r="R46" s="78">
        <f t="shared" si="41"/>
        <v>2.57893383748</v>
      </c>
      <c r="S46" s="78">
        <f t="shared" si="41"/>
        <v>30.45753506796</v>
      </c>
      <c r="T46" s="78">
        <f t="shared" si="41"/>
        <v>9.956643296600003</v>
      </c>
      <c r="U46" s="78">
        <f t="shared" si="41"/>
        <v>14.49426106128</v>
      </c>
      <c r="V46" s="78">
        <f t="shared" si="41"/>
        <v>43.12369113052</v>
      </c>
      <c r="W46" s="78">
        <f t="shared" si="41"/>
        <v>85.79035601136002</v>
      </c>
      <c r="X46" s="78">
        <f t="shared" si="42"/>
        <v>82.95026431692001</v>
      </c>
      <c r="Y46" s="78">
        <f t="shared" si="42"/>
        <v>0</v>
      </c>
      <c r="Z46" s="78">
        <f t="shared" si="42"/>
        <v>61.07829379652</v>
      </c>
      <c r="AA46" s="78">
        <f t="shared" si="42"/>
        <v>0</v>
      </c>
      <c r="AB46" s="78">
        <f t="shared" si="42"/>
        <v>129.92603383760004</v>
      </c>
      <c r="AC46" s="78">
        <f t="shared" si="42"/>
        <v>16.74674757756</v>
      </c>
      <c r="AD46" s="78">
        <f t="shared" si="42"/>
        <v>0.1632236606</v>
      </c>
      <c r="AE46" s="78">
        <f t="shared" si="42"/>
        <v>0.29913884</v>
      </c>
      <c r="AF46" s="78">
        <f t="shared" si="42"/>
        <v>3.9173678544000006</v>
      </c>
      <c r="AG46" s="78">
        <f t="shared" si="42"/>
        <v>1.3384340169200002</v>
      </c>
      <c r="AH46" s="78">
        <f t="shared" si="43"/>
        <v>28.36827221228</v>
      </c>
      <c r="AI46" s="78">
        <f t="shared" si="43"/>
        <v>52.13363719564001</v>
      </c>
      <c r="AJ46" s="78">
        <f t="shared" si="43"/>
        <v>19.945931325320004</v>
      </c>
      <c r="AK46" s="78">
        <f t="shared" si="43"/>
        <v>8.16118303</v>
      </c>
      <c r="AL46" s="78">
        <f t="shared" si="43"/>
        <v>109.55572099472</v>
      </c>
      <c r="AM46" s="78">
        <f t="shared" si="43"/>
        <v>17.43228695208</v>
      </c>
      <c r="AN46" s="78">
        <f t="shared" si="43"/>
        <v>25.952562035400003</v>
      </c>
      <c r="AO46" s="78">
        <f t="shared" si="43"/>
        <v>59.7398597796</v>
      </c>
      <c r="AP46" s="78">
        <f t="shared" si="43"/>
        <v>167.40218631136003</v>
      </c>
      <c r="AQ46" s="78">
        <f t="shared" si="43"/>
        <v>4.961999282240001</v>
      </c>
      <c r="AR46" s="78"/>
      <c r="AS46" s="78"/>
      <c r="AT46" s="79">
        <f t="shared" si="39"/>
        <v>1174.0972413970799</v>
      </c>
      <c r="AU46" s="78">
        <f>2965*BB19</f>
        <v>3715.7380000000003</v>
      </c>
      <c r="AX46" s="66"/>
      <c r="BA46" s="72" t="s">
        <v>181</v>
      </c>
    </row>
    <row r="47" spans="1:55" s="71" customFormat="1" ht="12.75">
      <c r="A47" s="71" t="s">
        <v>179</v>
      </c>
      <c r="C47" s="67" t="s">
        <v>172</v>
      </c>
      <c r="D47" s="78">
        <f t="shared" si="40"/>
        <v>30.075168461714288</v>
      </c>
      <c r="E47" s="78">
        <f t="shared" si="40"/>
        <v>0.12813671120140618</v>
      </c>
      <c r="F47" s="78">
        <f t="shared" si="40"/>
        <v>0.010125688444023914</v>
      </c>
      <c r="G47" s="78">
        <f t="shared" si="40"/>
        <v>0.010853906734158222</v>
      </c>
      <c r="H47" s="78">
        <f t="shared" si="40"/>
        <v>0</v>
      </c>
      <c r="I47" s="78">
        <f t="shared" si="40"/>
        <v>30.997889468778688</v>
      </c>
      <c r="J47" s="78">
        <f t="shared" si="40"/>
        <v>0.205417267308063</v>
      </c>
      <c r="K47" s="78">
        <f t="shared" si="40"/>
        <v>0.10380972401911234</v>
      </c>
      <c r="L47" s="78">
        <f t="shared" si="40"/>
        <v>1.3464393905394063</v>
      </c>
      <c r="M47" s="78">
        <f t="shared" si="40"/>
        <v>0.08902436309372518</v>
      </c>
      <c r="N47" s="78">
        <f t="shared" si="41"/>
        <v>9.934741279247982</v>
      </c>
      <c r="O47" s="78">
        <f t="shared" si="41"/>
        <v>10.675503349809754</v>
      </c>
      <c r="P47" s="78">
        <f t="shared" si="41"/>
        <v>1.1358598160353988</v>
      </c>
      <c r="Q47" s="78">
        <f t="shared" si="41"/>
        <v>1.051832533650451</v>
      </c>
      <c r="R47" s="78">
        <f t="shared" si="41"/>
        <v>0.7298996443921663</v>
      </c>
      <c r="S47" s="78">
        <f t="shared" si="41"/>
        <v>9.38134315230693</v>
      </c>
      <c r="T47" s="78">
        <f t="shared" si="41"/>
        <v>1.9438296974879057</v>
      </c>
      <c r="U47" s="78">
        <f t="shared" si="41"/>
        <v>2.515518307151895</v>
      </c>
      <c r="V47" s="78">
        <f t="shared" si="41"/>
        <v>30.010712611385173</v>
      </c>
      <c r="W47" s="78">
        <f t="shared" si="41"/>
        <v>28.982087086511655</v>
      </c>
      <c r="X47" s="78">
        <f t="shared" si="42"/>
        <v>13.529253039569811</v>
      </c>
      <c r="Y47" s="78">
        <f t="shared" si="42"/>
        <v>66.390240880656</v>
      </c>
      <c r="Z47" s="78">
        <f t="shared" si="42"/>
        <v>30.789687602337544</v>
      </c>
      <c r="AA47" s="78">
        <f t="shared" si="42"/>
        <v>76.115462346</v>
      </c>
      <c r="AB47" s="78">
        <f t="shared" si="42"/>
        <v>50.743641564</v>
      </c>
      <c r="AC47" s="78">
        <f t="shared" si="42"/>
        <v>0</v>
      </c>
      <c r="AD47" s="78">
        <f t="shared" si="42"/>
        <v>11.6384499</v>
      </c>
      <c r="AE47" s="78">
        <f t="shared" si="42"/>
        <v>11.744781048</v>
      </c>
      <c r="AF47" s="78">
        <f t="shared" si="42"/>
        <v>424.30756686198674</v>
      </c>
      <c r="AG47" s="78">
        <f t="shared" si="42"/>
        <v>0</v>
      </c>
      <c r="AH47" s="78">
        <f t="shared" si="43"/>
        <v>0</v>
      </c>
      <c r="AI47" s="78">
        <f t="shared" si="43"/>
        <v>0</v>
      </c>
      <c r="AJ47" s="78">
        <f t="shared" si="43"/>
        <v>0</v>
      </c>
      <c r="AK47" s="78">
        <f t="shared" si="43"/>
        <v>0</v>
      </c>
      <c r="AL47" s="78">
        <f t="shared" si="43"/>
        <v>0</v>
      </c>
      <c r="AM47" s="78">
        <f t="shared" si="43"/>
        <v>0</v>
      </c>
      <c r="AN47" s="78">
        <f t="shared" si="43"/>
        <v>0</v>
      </c>
      <c r="AO47" s="78">
        <f t="shared" si="43"/>
        <v>0</v>
      </c>
      <c r="AP47" s="78">
        <f t="shared" si="43"/>
        <v>0</v>
      </c>
      <c r="AQ47" s="78">
        <f t="shared" si="43"/>
        <v>0</v>
      </c>
      <c r="AR47" s="78"/>
      <c r="AS47" s="78"/>
      <c r="AT47" s="79">
        <f t="shared" si="39"/>
        <v>844.5872757023623</v>
      </c>
      <c r="AU47" s="78">
        <v>144</v>
      </c>
      <c r="AV47" s="72"/>
      <c r="AW47" s="72"/>
      <c r="AX47" s="72"/>
      <c r="AY47" s="72"/>
      <c r="AZ47" s="72"/>
      <c r="BA47" s="72" t="s">
        <v>181</v>
      </c>
      <c r="BB47" s="72"/>
      <c r="BC47" s="72"/>
    </row>
    <row r="48" spans="1:55" s="71" customFormat="1" ht="12.75">
      <c r="A48" s="71" t="s">
        <v>179</v>
      </c>
      <c r="C48" s="71" t="s">
        <v>174</v>
      </c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>
        <f>AG21*AG38*10^-6</f>
        <v>256.98292860239997</v>
      </c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9">
        <f t="shared" si="39"/>
        <v>256.98292860239997</v>
      </c>
      <c r="AU48" s="78"/>
      <c r="AV48" s="80"/>
      <c r="AW48" s="72"/>
      <c r="AX48" s="72"/>
      <c r="AY48" s="72"/>
      <c r="AZ48" s="72"/>
      <c r="BA48" s="72"/>
      <c r="BB48" s="72"/>
      <c r="BC48" s="72"/>
    </row>
    <row r="49" spans="4:55" s="71" customFormat="1" ht="12.75"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9"/>
      <c r="AU49" s="78"/>
      <c r="AV49" s="80"/>
      <c r="AW49" s="72"/>
      <c r="AX49" s="72"/>
      <c r="AY49" s="72"/>
      <c r="AZ49" s="72"/>
      <c r="BA49" s="72"/>
      <c r="BB49" s="72"/>
      <c r="BC49" s="72"/>
    </row>
    <row r="50" spans="1:55" s="71" customFormat="1" ht="12.75">
      <c r="A50" s="71" t="s">
        <v>179</v>
      </c>
      <c r="C50" s="67" t="s">
        <v>175</v>
      </c>
      <c r="D50" s="78">
        <f>D26*D37*10^-6</f>
        <v>30.037621434920634</v>
      </c>
      <c r="E50" s="78">
        <f aca="true" t="shared" si="44" ref="E50:T50">E26*E37*10^-6</f>
        <v>0</v>
      </c>
      <c r="F50" s="78">
        <f t="shared" si="44"/>
        <v>0</v>
      </c>
      <c r="G50" s="78">
        <f t="shared" si="44"/>
        <v>0</v>
      </c>
      <c r="H50" s="78">
        <f t="shared" si="44"/>
        <v>84.21119999999999</v>
      </c>
      <c r="I50" s="78">
        <f t="shared" si="44"/>
        <v>0</v>
      </c>
      <c r="J50" s="78">
        <f t="shared" si="44"/>
        <v>0</v>
      </c>
      <c r="K50" s="78">
        <f t="shared" si="44"/>
        <v>0</v>
      </c>
      <c r="L50" s="78">
        <f t="shared" si="44"/>
        <v>0.27897408</v>
      </c>
      <c r="M50" s="78">
        <f t="shared" si="44"/>
        <v>0</v>
      </c>
      <c r="N50" s="78">
        <f t="shared" si="44"/>
        <v>0</v>
      </c>
      <c r="O50" s="78">
        <f t="shared" si="44"/>
        <v>0</v>
      </c>
      <c r="P50" s="78">
        <f t="shared" si="44"/>
        <v>1.05390208</v>
      </c>
      <c r="Q50" s="78">
        <f t="shared" si="44"/>
        <v>0</v>
      </c>
      <c r="R50" s="78">
        <f t="shared" si="44"/>
        <v>0</v>
      </c>
      <c r="S50" s="78">
        <f t="shared" si="44"/>
        <v>1.87532576</v>
      </c>
      <c r="T50" s="78">
        <f t="shared" si="44"/>
        <v>0</v>
      </c>
      <c r="U50" s="78">
        <f aca="true" t="shared" si="45" ref="U50:AJ50">U26*U37*10^-6</f>
        <v>0.774928</v>
      </c>
      <c r="V50" s="78">
        <f t="shared" si="45"/>
        <v>3.61116448</v>
      </c>
      <c r="W50" s="78">
        <f t="shared" si="45"/>
        <v>0</v>
      </c>
      <c r="X50" s="78">
        <f t="shared" si="45"/>
        <v>0</v>
      </c>
      <c r="Y50" s="78">
        <f t="shared" si="45"/>
        <v>66.3073566848</v>
      </c>
      <c r="Z50" s="78">
        <f t="shared" si="45"/>
        <v>30.751989452799997</v>
      </c>
      <c r="AA50" s="78">
        <f t="shared" si="45"/>
        <v>38.7464</v>
      </c>
      <c r="AB50" s="78">
        <f t="shared" si="45"/>
        <v>6.83486496</v>
      </c>
      <c r="AC50" s="78">
        <f t="shared" si="45"/>
        <v>0</v>
      </c>
      <c r="AD50" s="78">
        <f t="shared" si="45"/>
        <v>11.62392</v>
      </c>
      <c r="AE50" s="78">
        <f t="shared" si="45"/>
        <v>11.730118399999999</v>
      </c>
      <c r="AF50" s="78">
        <f t="shared" si="45"/>
        <v>639.90454528</v>
      </c>
      <c r="AG50" s="78">
        <f t="shared" si="45"/>
        <v>0</v>
      </c>
      <c r="AH50" s="78">
        <f t="shared" si="45"/>
        <v>0</v>
      </c>
      <c r="AI50" s="78">
        <f t="shared" si="45"/>
        <v>0</v>
      </c>
      <c r="AJ50" s="78">
        <f t="shared" si="45"/>
        <v>0</v>
      </c>
      <c r="AK50" s="78">
        <f aca="true" t="shared" si="46" ref="AK50:AQ50">AK26*AK37*10^-6</f>
        <v>0</v>
      </c>
      <c r="AL50" s="78">
        <f t="shared" si="46"/>
        <v>0</v>
      </c>
      <c r="AM50" s="78">
        <f t="shared" si="46"/>
        <v>0</v>
      </c>
      <c r="AN50" s="78">
        <f t="shared" si="46"/>
        <v>0</v>
      </c>
      <c r="AO50" s="78">
        <f t="shared" si="46"/>
        <v>0</v>
      </c>
      <c r="AP50" s="78">
        <f t="shared" si="46"/>
        <v>0</v>
      </c>
      <c r="AQ50" s="78">
        <f t="shared" si="46"/>
        <v>0</v>
      </c>
      <c r="AR50" s="78"/>
      <c r="AS50" s="78"/>
      <c r="AT50" s="79">
        <f t="shared" si="39"/>
        <v>927.7423106125206</v>
      </c>
      <c r="AU50" s="78">
        <v>144</v>
      </c>
      <c r="AV50" s="80"/>
      <c r="AW50" s="72"/>
      <c r="AX50" s="72"/>
      <c r="AY50" s="72"/>
      <c r="AZ50" s="72"/>
      <c r="BA50" s="72"/>
      <c r="BB50" s="72"/>
      <c r="BC50" s="72"/>
    </row>
    <row r="51" spans="4:55" s="71" customFormat="1" ht="12.75"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9"/>
      <c r="AU51" s="78"/>
      <c r="AV51" s="80"/>
      <c r="AW51" s="72"/>
      <c r="AX51" s="72"/>
      <c r="AY51" s="72"/>
      <c r="AZ51" s="72"/>
      <c r="BA51" s="72"/>
      <c r="BB51" s="72"/>
      <c r="BC51" s="72"/>
    </row>
    <row r="52" spans="1:55" s="71" customFormat="1" ht="12.75">
      <c r="A52" s="71" t="s">
        <v>179</v>
      </c>
      <c r="B52" s="71">
        <v>5</v>
      </c>
      <c r="C52" s="71" t="s">
        <v>182</v>
      </c>
      <c r="D52" s="78">
        <f>D45+D46+D50+D48</f>
        <v>79.45695077892064</v>
      </c>
      <c r="E52" s="78">
        <f aca="true" t="shared" si="47" ref="E52:T52">E45+E46+E50+E48</f>
        <v>9.415751015440001</v>
      </c>
      <c r="F52" s="78">
        <f t="shared" si="47"/>
        <v>1.3329030884400002</v>
      </c>
      <c r="G52" s="78">
        <f t="shared" si="47"/>
        <v>0.43550358544000006</v>
      </c>
      <c r="H52" s="78">
        <f t="shared" si="47"/>
        <v>84.21119999999999</v>
      </c>
      <c r="I52" s="78">
        <f t="shared" si="47"/>
        <v>61.39889800044001</v>
      </c>
      <c r="J52" s="78">
        <f t="shared" si="47"/>
        <v>8.117740215200001</v>
      </c>
      <c r="K52" s="78">
        <f t="shared" si="47"/>
        <v>1.9115506132800002</v>
      </c>
      <c r="L52" s="78">
        <f t="shared" si="47"/>
        <v>44.033549365960006</v>
      </c>
      <c r="M52" s="78">
        <f t="shared" si="47"/>
        <v>8.23218405548</v>
      </c>
      <c r="N52" s="78">
        <f t="shared" si="47"/>
        <v>4.74406738652</v>
      </c>
      <c r="O52" s="78">
        <f t="shared" si="47"/>
        <v>27.588527480360003</v>
      </c>
      <c r="P52" s="78">
        <f t="shared" si="47"/>
        <v>51.458253231</v>
      </c>
      <c r="Q52" s="78">
        <f t="shared" si="47"/>
        <v>31.120531371160006</v>
      </c>
      <c r="R52" s="78">
        <f t="shared" si="47"/>
        <v>3.2565151626700004</v>
      </c>
      <c r="S52" s="78">
        <f t="shared" si="47"/>
        <v>63.92024334773</v>
      </c>
      <c r="T52" s="78">
        <f t="shared" si="47"/>
        <v>12.229003047800003</v>
      </c>
      <c r="U52" s="78">
        <f aca="true" t="shared" si="48" ref="U52:AJ52">U45+U46+U50+U48</f>
        <v>129.45801150898</v>
      </c>
      <c r="V52" s="78">
        <f t="shared" si="48"/>
        <v>66.61709354762</v>
      </c>
      <c r="W52" s="78">
        <f t="shared" si="48"/>
        <v>120.74645956296001</v>
      </c>
      <c r="X52" s="78">
        <f t="shared" si="48"/>
        <v>91.28225007132001</v>
      </c>
      <c r="Y52" s="78">
        <f t="shared" si="48"/>
        <v>83.6542778456</v>
      </c>
      <c r="Z52" s="78">
        <f t="shared" si="48"/>
        <v>97.96441285091998</v>
      </c>
      <c r="AA52" s="78">
        <f t="shared" si="48"/>
        <v>57.403342766</v>
      </c>
      <c r="AB52" s="78">
        <f t="shared" si="48"/>
        <v>208.40231729240006</v>
      </c>
      <c r="AC52" s="78">
        <f t="shared" si="48"/>
        <v>85.83020919396002</v>
      </c>
      <c r="AD52" s="78">
        <f t="shared" si="48"/>
        <v>16.0586833022</v>
      </c>
      <c r="AE52" s="78">
        <f t="shared" si="48"/>
        <v>12.650120559999998</v>
      </c>
      <c r="AF52" s="78">
        <f t="shared" si="48"/>
        <v>649.7946182728</v>
      </c>
      <c r="AG52" s="78">
        <f t="shared" si="48"/>
        <v>260.18395257931996</v>
      </c>
      <c r="AH52" s="78">
        <f t="shared" si="48"/>
        <v>34.06779748988</v>
      </c>
      <c r="AI52" s="78">
        <f t="shared" si="48"/>
        <v>60.90643590724001</v>
      </c>
      <c r="AJ52" s="78">
        <f t="shared" si="48"/>
        <v>22.435593238520003</v>
      </c>
      <c r="AK52" s="78">
        <f aca="true" t="shared" si="49" ref="AK52:AQ52">AK45+AK46+AK50+AK48</f>
        <v>11.190996031600001</v>
      </c>
      <c r="AL52" s="78">
        <f t="shared" si="49"/>
        <v>150.14776485632</v>
      </c>
      <c r="AM52" s="78">
        <f t="shared" si="49"/>
        <v>36.43691317728</v>
      </c>
      <c r="AN52" s="78">
        <f t="shared" si="49"/>
        <v>40.468346457</v>
      </c>
      <c r="AO52" s="78">
        <f t="shared" si="49"/>
        <v>67.0846728552</v>
      </c>
      <c r="AP52" s="78">
        <f t="shared" si="49"/>
        <v>218.85312963976003</v>
      </c>
      <c r="AQ52" s="78">
        <f t="shared" si="49"/>
        <v>5.5828626022400005</v>
      </c>
      <c r="AR52" s="78"/>
      <c r="AS52" s="78"/>
      <c r="AT52" s="79">
        <f t="shared" si="39"/>
        <v>3020.0836333549605</v>
      </c>
      <c r="AU52" s="78">
        <f aca="true" t="shared" si="50" ref="AU52:AZ52">AU44</f>
        <v>4951.1753778</v>
      </c>
      <c r="AV52" s="78">
        <f t="shared" si="50"/>
        <v>-3.753624</v>
      </c>
      <c r="AW52" s="78">
        <f t="shared" si="50"/>
        <v>48.7</v>
      </c>
      <c r="AX52" s="79">
        <f t="shared" si="50"/>
        <v>7884.350352244803</v>
      </c>
      <c r="AY52" s="78">
        <f t="shared" si="50"/>
        <v>7933.0503522448025</v>
      </c>
      <c r="AZ52" s="78">
        <f t="shared" si="50"/>
        <v>6968.4</v>
      </c>
      <c r="BA52" s="72"/>
      <c r="BB52" s="72"/>
      <c r="BC52" s="72"/>
    </row>
    <row r="53" spans="4:55" s="71" customFormat="1" ht="12.75"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9"/>
      <c r="AU53" s="78"/>
      <c r="AV53" s="80"/>
      <c r="AW53" s="72"/>
      <c r="AX53" s="72"/>
      <c r="AY53" s="72"/>
      <c r="AZ53" s="72"/>
      <c r="BA53" s="72"/>
      <c r="BB53" s="72"/>
      <c r="BC53" s="72"/>
    </row>
    <row r="54" spans="1:52" ht="12.75">
      <c r="A54" s="24" t="s">
        <v>179</v>
      </c>
      <c r="B54" s="24" t="s">
        <v>183</v>
      </c>
      <c r="C54" s="27" t="s">
        <v>184</v>
      </c>
      <c r="D54" s="27">
        <f>SUM(D41:D43)</f>
        <v>213.7884122748718</v>
      </c>
      <c r="E54" s="27">
        <f aca="true" t="shared" si="51" ref="E54:T54">SUM(E41:E43)</f>
        <v>666.013</v>
      </c>
      <c r="F54" s="27">
        <f t="shared" si="51"/>
        <v>307.318922</v>
      </c>
      <c r="G54" s="27">
        <f t="shared" si="51"/>
        <v>89.47260299999999</v>
      </c>
      <c r="H54" s="27">
        <f t="shared" si="51"/>
        <v>8.346744999999999</v>
      </c>
      <c r="I54" s="27">
        <f t="shared" si="51"/>
        <v>201.75187107764629</v>
      </c>
      <c r="J54" s="27">
        <f t="shared" si="51"/>
        <v>44.773869888726885</v>
      </c>
      <c r="K54" s="27">
        <f t="shared" si="51"/>
        <v>24.569957966009973</v>
      </c>
      <c r="L54" s="27">
        <f t="shared" si="51"/>
        <v>201.84570835128207</v>
      </c>
      <c r="M54" s="27">
        <f t="shared" si="51"/>
        <v>19.12350830854701</v>
      </c>
      <c r="N54" s="27">
        <f t="shared" si="51"/>
        <v>13.065413017957814</v>
      </c>
      <c r="O54" s="27">
        <f t="shared" si="51"/>
        <v>108.1313904008456</v>
      </c>
      <c r="P54" s="27">
        <f t="shared" si="51"/>
        <v>213.55650256410254</v>
      </c>
      <c r="Q54" s="27">
        <f t="shared" si="51"/>
        <v>52.50904273504273</v>
      </c>
      <c r="R54" s="27">
        <f t="shared" si="51"/>
        <v>6.821647863247863</v>
      </c>
      <c r="S54" s="27">
        <f t="shared" si="51"/>
        <v>363.4367035897436</v>
      </c>
      <c r="T54" s="27">
        <f t="shared" si="51"/>
        <v>84.06261965811964</v>
      </c>
      <c r="U54" s="27">
        <f aca="true" t="shared" si="52" ref="U54:AJ54">SUM(U41:U43)</f>
        <v>148.93995897435897</v>
      </c>
      <c r="V54" s="27">
        <f t="shared" si="52"/>
        <v>518.6380909393163</v>
      </c>
      <c r="W54" s="27">
        <f t="shared" si="52"/>
        <v>200.71249113247865</v>
      </c>
      <c r="X54" s="27">
        <f t="shared" si="52"/>
        <v>182.04643521367524</v>
      </c>
      <c r="Y54" s="27">
        <f t="shared" si="52"/>
        <v>182.708400974359</v>
      </c>
      <c r="Z54" s="27">
        <f t="shared" si="52"/>
        <v>71.57455323760684</v>
      </c>
      <c r="AA54" s="27">
        <f t="shared" si="52"/>
        <v>86.37799695</v>
      </c>
      <c r="AB54" s="27">
        <f t="shared" si="52"/>
        <v>656.5189336683761</v>
      </c>
      <c r="AC54" s="27">
        <f t="shared" si="52"/>
        <v>479.1670789500001</v>
      </c>
      <c r="AD54" s="27">
        <f t="shared" si="52"/>
        <v>332.14106931623934</v>
      </c>
      <c r="AE54" s="27">
        <f t="shared" si="52"/>
        <v>58.957123076923075</v>
      </c>
      <c r="AF54" s="27">
        <f t="shared" si="52"/>
        <v>32.59619931623932</v>
      </c>
      <c r="AG54" s="27">
        <f t="shared" si="52"/>
        <v>53.94095897435898</v>
      </c>
      <c r="AH54" s="27">
        <f t="shared" si="52"/>
        <v>55.67539249006313</v>
      </c>
      <c r="AI54" s="27">
        <f t="shared" si="52"/>
        <v>148.41655029799006</v>
      </c>
      <c r="AJ54" s="27">
        <f t="shared" si="52"/>
        <v>64.05385408491597</v>
      </c>
      <c r="AK54" s="27">
        <f aca="true" t="shared" si="53" ref="AK54:AQ54">SUM(AK41:AK43)</f>
        <v>209.17474741102427</v>
      </c>
      <c r="AL54" s="27">
        <f t="shared" si="53"/>
        <v>273.39025471183135</v>
      </c>
      <c r="AM54" s="27">
        <f t="shared" si="53"/>
        <v>256.6010696991453</v>
      </c>
      <c r="AN54" s="27">
        <f t="shared" si="53"/>
        <v>231.15163600000002</v>
      </c>
      <c r="AO54" s="27">
        <f t="shared" si="53"/>
        <v>87.01816872478634</v>
      </c>
      <c r="AP54" s="27">
        <f t="shared" si="53"/>
        <v>320.9887654518174</v>
      </c>
      <c r="AQ54" s="27">
        <f t="shared" si="53"/>
        <v>11.131388615983365</v>
      </c>
      <c r="AT54" s="29">
        <f aca="true" t="shared" si="54" ref="AT54:AZ54">SUM(AT41:AT43)</f>
        <v>7280.509035907634</v>
      </c>
      <c r="AU54" s="27">
        <f t="shared" si="54"/>
        <v>4300.460528400001</v>
      </c>
      <c r="AV54" s="27">
        <f t="shared" si="54"/>
        <v>-85.8</v>
      </c>
      <c r="AW54" s="27">
        <f t="shared" si="54"/>
        <v>1353.9</v>
      </c>
      <c r="AX54" s="65">
        <f t="shared" si="54"/>
        <v>10488.049564307634</v>
      </c>
      <c r="AY54" s="58">
        <f t="shared" si="54"/>
        <v>12849.069564307632</v>
      </c>
      <c r="AZ54" s="27">
        <f t="shared" si="54"/>
        <v>1542</v>
      </c>
    </row>
    <row r="55" spans="2:51" ht="12.75">
      <c r="B55" s="24"/>
      <c r="C55" s="27"/>
      <c r="AX55" s="20"/>
      <c r="AY55" s="35"/>
    </row>
    <row r="56" spans="1:52" ht="12.75">
      <c r="A56" s="24" t="s">
        <v>179</v>
      </c>
      <c r="B56" s="24" t="s">
        <v>185</v>
      </c>
      <c r="C56" s="27" t="s">
        <v>184</v>
      </c>
      <c r="D56" s="27">
        <v>137</v>
      </c>
      <c r="E56" s="27">
        <f>1771-284-38</f>
        <v>1449</v>
      </c>
      <c r="F56" s="27">
        <v>284</v>
      </c>
      <c r="G56" s="27">
        <v>38</v>
      </c>
      <c r="H56" s="27">
        <v>6.61</v>
      </c>
      <c r="I56" s="27">
        <v>178.199999999999</v>
      </c>
      <c r="J56" s="27">
        <v>35.1599999999999</v>
      </c>
      <c r="K56" s="27">
        <v>7.79199999999999</v>
      </c>
      <c r="L56" s="27">
        <v>92.8299999999999</v>
      </c>
      <c r="M56" s="27">
        <v>7.62899999999999</v>
      </c>
      <c r="N56" s="27">
        <v>3.6829999999999896</v>
      </c>
      <c r="O56" s="27">
        <v>22.48</v>
      </c>
      <c r="P56" s="27">
        <v>108.8</v>
      </c>
      <c r="Q56" s="27">
        <v>36.46</v>
      </c>
      <c r="R56" s="27">
        <v>3.476</v>
      </c>
      <c r="S56" s="27">
        <v>435.39999</v>
      </c>
      <c r="T56" s="27">
        <v>76.4399999999999</v>
      </c>
      <c r="U56" s="27">
        <v>438</v>
      </c>
      <c r="V56" s="27">
        <v>309.10001</v>
      </c>
      <c r="W56" s="27">
        <v>287.5</v>
      </c>
      <c r="X56" s="27">
        <v>57.8999999999999</v>
      </c>
      <c r="Y56" s="27">
        <v>149.39999</v>
      </c>
      <c r="Z56" s="27">
        <v>11.48</v>
      </c>
      <c r="AA56" s="27">
        <v>117.7</v>
      </c>
      <c r="AB56" s="27">
        <v>320.299989999999</v>
      </c>
      <c r="AC56" s="27">
        <v>364</v>
      </c>
      <c r="AD56" s="27">
        <v>221.15499</v>
      </c>
      <c r="AE56" s="27">
        <v>0</v>
      </c>
      <c r="AF56" s="27">
        <f>66.9-AG56</f>
        <v>21.500000000000007</v>
      </c>
      <c r="AG56" s="27">
        <v>45.4</v>
      </c>
      <c r="AH56" s="27">
        <v>68.26</v>
      </c>
      <c r="AI56" s="27">
        <v>120.099999999999</v>
      </c>
      <c r="AJ56" s="27">
        <v>33.77</v>
      </c>
      <c r="AK56" s="27">
        <v>31.91</v>
      </c>
      <c r="AL56" s="27">
        <v>158.8</v>
      </c>
      <c r="AM56" s="27">
        <v>172.8</v>
      </c>
      <c r="AN56" s="27">
        <v>86.54</v>
      </c>
      <c r="AO56" s="27">
        <v>84.5499999999999</v>
      </c>
      <c r="AP56" s="27">
        <v>155.3</v>
      </c>
      <c r="AQ56" s="27">
        <v>0.1585</v>
      </c>
      <c r="AR56" s="27"/>
      <c r="AS56" s="27"/>
      <c r="AT56" s="29">
        <v>6178.593469999997</v>
      </c>
      <c r="AU56" s="27">
        <v>4724.9</v>
      </c>
      <c r="AV56" s="27">
        <v>-85.8</v>
      </c>
      <c r="AW56" s="27">
        <v>1353.9</v>
      </c>
      <c r="AX56" s="65">
        <f>AY56-AW56-E56</f>
        <v>10047.5</v>
      </c>
      <c r="AY56" s="58">
        <v>12850.4</v>
      </c>
      <c r="AZ56" s="27">
        <f>1428.1+181.9</f>
        <v>1610</v>
      </c>
    </row>
    <row r="57" spans="2:51" ht="12.75">
      <c r="B57" s="24"/>
      <c r="C57" s="27"/>
      <c r="AX57" s="20"/>
      <c r="AY57" s="35"/>
    </row>
    <row r="58" spans="1:52" s="33" customFormat="1" ht="12.75">
      <c r="A58" s="32" t="s">
        <v>179</v>
      </c>
      <c r="B58" s="32"/>
      <c r="C58" s="83" t="s">
        <v>186</v>
      </c>
      <c r="D58" s="29">
        <f>D56-D54</f>
        <v>-76.7884122748718</v>
      </c>
      <c r="E58" s="29">
        <f aca="true" t="shared" si="55" ref="E58:T58">E56-E54</f>
        <v>782.987</v>
      </c>
      <c r="F58" s="29">
        <f t="shared" si="55"/>
        <v>-23.318921999999986</v>
      </c>
      <c r="G58" s="29">
        <f t="shared" si="55"/>
        <v>-51.47260299999999</v>
      </c>
      <c r="H58" s="29">
        <f t="shared" si="55"/>
        <v>-1.7367449999999982</v>
      </c>
      <c r="I58" s="29">
        <f t="shared" si="55"/>
        <v>-23.55187107764729</v>
      </c>
      <c r="J58" s="29">
        <f t="shared" si="55"/>
        <v>-9.613869888726988</v>
      </c>
      <c r="K58" s="29">
        <f t="shared" si="55"/>
        <v>-16.777957966009982</v>
      </c>
      <c r="L58" s="29">
        <f t="shared" si="55"/>
        <v>-109.01570835128217</v>
      </c>
      <c r="M58" s="29">
        <f t="shared" si="55"/>
        <v>-11.494508308547019</v>
      </c>
      <c r="N58" s="29">
        <f t="shared" si="55"/>
        <v>-9.382413017957825</v>
      </c>
      <c r="O58" s="29">
        <f t="shared" si="55"/>
        <v>-85.6513904008456</v>
      </c>
      <c r="P58" s="29">
        <f t="shared" si="55"/>
        <v>-104.75650256410255</v>
      </c>
      <c r="Q58" s="29">
        <f t="shared" si="55"/>
        <v>-16.049042735042732</v>
      </c>
      <c r="R58" s="29">
        <f t="shared" si="55"/>
        <v>-3.345647863247863</v>
      </c>
      <c r="S58" s="29">
        <f t="shared" si="55"/>
        <v>71.96328641025639</v>
      </c>
      <c r="T58" s="29">
        <f t="shared" si="55"/>
        <v>-7.622619658119746</v>
      </c>
      <c r="U58" s="29">
        <f aca="true" t="shared" si="56" ref="U58:AJ58">U56-U54</f>
        <v>289.060041025641</v>
      </c>
      <c r="V58" s="29">
        <f t="shared" si="56"/>
        <v>-209.53808093931627</v>
      </c>
      <c r="W58" s="29">
        <f t="shared" si="56"/>
        <v>86.78750886752135</v>
      </c>
      <c r="X58" s="29">
        <f t="shared" si="56"/>
        <v>-124.14643521367535</v>
      </c>
      <c r="Y58" s="29">
        <f t="shared" si="56"/>
        <v>-33.30841097435899</v>
      </c>
      <c r="Z58" s="29">
        <f t="shared" si="56"/>
        <v>-60.09455323760683</v>
      </c>
      <c r="AA58" s="29">
        <f t="shared" si="56"/>
        <v>31.322003050000006</v>
      </c>
      <c r="AB58" s="29">
        <f t="shared" si="56"/>
        <v>-336.2189436683771</v>
      </c>
      <c r="AC58" s="29">
        <f t="shared" si="56"/>
        <v>-115.16707895000008</v>
      </c>
      <c r="AD58" s="29">
        <f t="shared" si="56"/>
        <v>-110.98607931623934</v>
      </c>
      <c r="AE58" s="29">
        <f t="shared" si="56"/>
        <v>-58.957123076923075</v>
      </c>
      <c r="AF58" s="29">
        <f t="shared" si="56"/>
        <v>-11.096199316239314</v>
      </c>
      <c r="AG58" s="29">
        <f t="shared" si="56"/>
        <v>-8.540958974358979</v>
      </c>
      <c r="AH58" s="29">
        <f t="shared" si="56"/>
        <v>12.584607509936873</v>
      </c>
      <c r="AI58" s="29">
        <f t="shared" si="56"/>
        <v>-28.316550297991057</v>
      </c>
      <c r="AJ58" s="29">
        <f t="shared" si="56"/>
        <v>-30.283854084915966</v>
      </c>
      <c r="AK58" s="29">
        <f aca="true" t="shared" si="57" ref="AK58:AQ58">AK56-AK54</f>
        <v>-177.26474741102427</v>
      </c>
      <c r="AL58" s="29">
        <f t="shared" si="57"/>
        <v>-114.59025471183134</v>
      </c>
      <c r="AM58" s="29">
        <f t="shared" si="57"/>
        <v>-83.80106969914527</v>
      </c>
      <c r="AN58" s="29">
        <f t="shared" si="57"/>
        <v>-144.61163600000003</v>
      </c>
      <c r="AO58" s="29">
        <f t="shared" si="57"/>
        <v>-2.4681687247864375</v>
      </c>
      <c r="AP58" s="29">
        <f t="shared" si="57"/>
        <v>-165.6887654518174</v>
      </c>
      <c r="AQ58" s="29">
        <f t="shared" si="57"/>
        <v>-10.972888615983365</v>
      </c>
      <c r="AT58" s="29">
        <f aca="true" t="shared" si="58" ref="AT58:AZ58">AT56-AT54</f>
        <v>-1101.9155659076368</v>
      </c>
      <c r="AU58" s="29">
        <f t="shared" si="58"/>
        <v>424.4394715999988</v>
      </c>
      <c r="AV58" s="29">
        <f t="shared" si="58"/>
        <v>0</v>
      </c>
      <c r="AW58" s="29">
        <f t="shared" si="58"/>
        <v>0</v>
      </c>
      <c r="AX58" s="29">
        <f t="shared" si="58"/>
        <v>-440.5495643076338</v>
      </c>
      <c r="AY58" s="29">
        <f t="shared" si="58"/>
        <v>1.3304356923672458</v>
      </c>
      <c r="AZ58" s="29">
        <f t="shared" si="58"/>
        <v>68</v>
      </c>
    </row>
    <row r="59" ht="12.75"/>
    <row r="60" spans="1:52" ht="12.75">
      <c r="A60" s="24" t="s">
        <v>179</v>
      </c>
      <c r="B60" s="19">
        <v>5</v>
      </c>
      <c r="C60" s="71" t="s">
        <v>180</v>
      </c>
      <c r="D60" s="27">
        <f aca="true" t="shared" si="59" ref="D60:AQ60">D44</f>
        <v>79.49449780571429</v>
      </c>
      <c r="E60" s="27">
        <f t="shared" si="59"/>
        <v>9.543887726641408</v>
      </c>
      <c r="F60" s="27">
        <f t="shared" si="59"/>
        <v>1.3430287768840241</v>
      </c>
      <c r="G60" s="27">
        <f t="shared" si="59"/>
        <v>0.44635749217415827</v>
      </c>
      <c r="H60" s="27">
        <f t="shared" si="59"/>
        <v>0</v>
      </c>
      <c r="I60" s="27">
        <f t="shared" si="59"/>
        <v>92.39678746921871</v>
      </c>
      <c r="J60" s="27">
        <f t="shared" si="59"/>
        <v>8.323157482508064</v>
      </c>
      <c r="K60" s="27">
        <f t="shared" si="59"/>
        <v>2.0153603372991125</v>
      </c>
      <c r="L60" s="27">
        <f t="shared" si="59"/>
        <v>45.10101467649942</v>
      </c>
      <c r="M60" s="27">
        <f t="shared" si="59"/>
        <v>8.321208418573725</v>
      </c>
      <c r="N60" s="27">
        <f t="shared" si="59"/>
        <v>14.678808665767981</v>
      </c>
      <c r="O60" s="27">
        <f t="shared" si="59"/>
        <v>38.26403083016976</v>
      </c>
      <c r="P60" s="27">
        <f t="shared" si="59"/>
        <v>51.5402109670354</v>
      </c>
      <c r="Q60" s="27">
        <f t="shared" si="59"/>
        <v>32.17236390481045</v>
      </c>
      <c r="R60" s="27">
        <f t="shared" si="59"/>
        <v>3.9864148070621668</v>
      </c>
      <c r="S60" s="27">
        <f t="shared" si="59"/>
        <v>71.42626074003692</v>
      </c>
      <c r="T60" s="27">
        <f t="shared" si="59"/>
        <v>14.17283274528791</v>
      </c>
      <c r="U60" s="27">
        <f t="shared" si="59"/>
        <v>131.1986018161319</v>
      </c>
      <c r="V60" s="27">
        <f t="shared" si="59"/>
        <v>93.01664167900518</v>
      </c>
      <c r="W60" s="27">
        <f t="shared" si="59"/>
        <v>149.72854664947167</v>
      </c>
      <c r="X60" s="27">
        <f t="shared" si="59"/>
        <v>104.81150311088982</v>
      </c>
      <c r="Y60" s="27">
        <f t="shared" si="59"/>
        <v>83.737162041456</v>
      </c>
      <c r="Z60" s="27">
        <f t="shared" si="59"/>
        <v>98.00211100045755</v>
      </c>
      <c r="AA60" s="27">
        <f t="shared" si="59"/>
        <v>94.772405112</v>
      </c>
      <c r="AB60" s="27">
        <f t="shared" si="59"/>
        <v>252.31109389640005</v>
      </c>
      <c r="AC60" s="27">
        <f t="shared" si="59"/>
        <v>85.83020919396002</v>
      </c>
      <c r="AD60" s="27">
        <f t="shared" si="59"/>
        <v>16.073213202199998</v>
      </c>
      <c r="AE60" s="27">
        <f t="shared" si="59"/>
        <v>12.664783208</v>
      </c>
      <c r="AF60" s="27">
        <f t="shared" si="59"/>
        <v>434.19763985478676</v>
      </c>
      <c r="AG60" s="27">
        <f t="shared" si="59"/>
        <v>260.18395257931996</v>
      </c>
      <c r="AH60" s="27">
        <f t="shared" si="59"/>
        <v>34.06779748988</v>
      </c>
      <c r="AI60" s="27">
        <f t="shared" si="59"/>
        <v>60.90643590724001</v>
      </c>
      <c r="AJ60" s="27">
        <f t="shared" si="59"/>
        <v>22.435593238520003</v>
      </c>
      <c r="AK60" s="27">
        <f t="shared" si="59"/>
        <v>11.190996031600001</v>
      </c>
      <c r="AL60" s="27">
        <f t="shared" si="59"/>
        <v>150.14776485632</v>
      </c>
      <c r="AM60" s="27">
        <f t="shared" si="59"/>
        <v>36.43691317728</v>
      </c>
      <c r="AN60" s="27">
        <f t="shared" si="59"/>
        <v>40.468346457</v>
      </c>
      <c r="AO60" s="27">
        <f t="shared" si="59"/>
        <v>67.0846728552</v>
      </c>
      <c r="AP60" s="27">
        <f t="shared" si="59"/>
        <v>218.85312963976003</v>
      </c>
      <c r="AQ60" s="27">
        <f t="shared" si="59"/>
        <v>5.5828626022400005</v>
      </c>
      <c r="AT60" s="29">
        <f>SUM(D60:AS60)</f>
        <v>2936.9285984448024</v>
      </c>
      <c r="AU60" s="27">
        <f>AU44</f>
        <v>4951.1753778</v>
      </c>
      <c r="AV60" s="27">
        <f>AV44</f>
        <v>-3.753624</v>
      </c>
      <c r="AW60" s="27">
        <f>AW44</f>
        <v>48.7</v>
      </c>
      <c r="AX60" s="79">
        <f>AY60-H60-AW60</f>
        <v>7884.350352244803</v>
      </c>
      <c r="AY60" s="78">
        <f>SUM(AT60:AW60)</f>
        <v>7933.0503522448025</v>
      </c>
      <c r="AZ60" s="27">
        <f>AZ44</f>
        <v>6968.4</v>
      </c>
    </row>
    <row r="61" ht="12.75"/>
    <row r="62" spans="1:52" ht="12.75">
      <c r="A62" s="24" t="s">
        <v>179</v>
      </c>
      <c r="B62" s="19" t="s">
        <v>185</v>
      </c>
      <c r="C62" s="19" t="s">
        <v>103</v>
      </c>
      <c r="D62" s="27">
        <v>69.3799999999999</v>
      </c>
      <c r="E62" s="28">
        <v>44.78</v>
      </c>
      <c r="F62" s="28"/>
      <c r="G62" s="28"/>
      <c r="H62" s="27">
        <v>787.5</v>
      </c>
      <c r="I62" s="27">
        <v>73.9899999999999</v>
      </c>
      <c r="J62" s="27">
        <v>10.7899999999999</v>
      </c>
      <c r="K62" s="27">
        <v>2.04899999999999</v>
      </c>
      <c r="L62" s="27">
        <v>29.9499999999999</v>
      </c>
      <c r="M62" s="27">
        <v>5.02299999999999</v>
      </c>
      <c r="N62" s="27">
        <v>11.14</v>
      </c>
      <c r="O62" s="27">
        <v>314.299989999999</v>
      </c>
      <c r="P62" s="27">
        <v>49.68</v>
      </c>
      <c r="Q62" s="27">
        <v>12.77</v>
      </c>
      <c r="R62" s="27">
        <v>2.367</v>
      </c>
      <c r="S62" s="27">
        <v>112.599999999999</v>
      </c>
      <c r="T62" s="27">
        <v>5.30999999999999</v>
      </c>
      <c r="U62" s="27">
        <v>292.20001</v>
      </c>
      <c r="V62" s="27">
        <v>48.21</v>
      </c>
      <c r="W62" s="27">
        <v>75.14</v>
      </c>
      <c r="X62" s="27">
        <v>82.54</v>
      </c>
      <c r="Y62" s="27">
        <v>257.10001</v>
      </c>
      <c r="Z62" s="27">
        <v>56.5499999999999</v>
      </c>
      <c r="AA62" s="27">
        <v>114.099999999999</v>
      </c>
      <c r="AB62" s="27">
        <v>252.8</v>
      </c>
      <c r="AC62" s="27">
        <v>74.17</v>
      </c>
      <c r="AD62" s="27">
        <f>99.25+9.4</f>
        <v>108.65</v>
      </c>
      <c r="AE62" s="28"/>
      <c r="AF62" s="27">
        <v>616.90002</v>
      </c>
      <c r="AG62" s="22"/>
      <c r="AH62" s="27">
        <v>34.13</v>
      </c>
      <c r="AI62" s="27">
        <v>30.8</v>
      </c>
      <c r="AJ62" s="27">
        <v>2.369</v>
      </c>
      <c r="AK62" s="27">
        <v>9.573</v>
      </c>
      <c r="AL62" s="27">
        <v>138.10001</v>
      </c>
      <c r="AM62" s="27">
        <v>5.149</v>
      </c>
      <c r="AN62" s="27">
        <v>22.78</v>
      </c>
      <c r="AO62" s="27">
        <v>28.48</v>
      </c>
      <c r="AP62" s="27">
        <v>146.5</v>
      </c>
      <c r="AQ62" s="27">
        <v>0.0466499999999999</v>
      </c>
      <c r="AT62" s="65">
        <f>SUM(D62:AS62)</f>
        <v>3927.9166899999977</v>
      </c>
      <c r="AU62" s="27">
        <v>4547.659278527287</v>
      </c>
      <c r="AV62" s="27">
        <v>3</v>
      </c>
      <c r="AW62" s="19">
        <v>43.3</v>
      </c>
      <c r="AX62" s="65">
        <f>AY62-AW62-H62</f>
        <v>7094.8</v>
      </c>
      <c r="AY62" s="27">
        <v>7925.6</v>
      </c>
      <c r="AZ62" s="27">
        <v>6968.4</v>
      </c>
    </row>
    <row r="64" spans="1:52" s="20" customFormat="1" ht="12.75">
      <c r="A64" s="63" t="s">
        <v>179</v>
      </c>
      <c r="B64" s="12"/>
      <c r="C64" s="82" t="s">
        <v>186</v>
      </c>
      <c r="D64" s="65">
        <f aca="true" t="shared" si="60" ref="D64:S64">D62-D60</f>
        <v>-10.114497805714393</v>
      </c>
      <c r="E64" s="65">
        <f t="shared" si="60"/>
        <v>35.23611227335859</v>
      </c>
      <c r="F64" s="65">
        <f t="shared" si="60"/>
        <v>-1.3430287768840241</v>
      </c>
      <c r="G64" s="65">
        <f t="shared" si="60"/>
        <v>-0.44635749217415827</v>
      </c>
      <c r="H64" s="65">
        <f t="shared" si="60"/>
        <v>787.5</v>
      </c>
      <c r="I64" s="65">
        <f t="shared" si="60"/>
        <v>-18.406787469218813</v>
      </c>
      <c r="J64" s="65">
        <f t="shared" si="60"/>
        <v>2.466842517491836</v>
      </c>
      <c r="K64" s="65">
        <f t="shared" si="60"/>
        <v>0.033639662700877704</v>
      </c>
      <c r="L64" s="65">
        <f t="shared" si="60"/>
        <v>-15.151014676499518</v>
      </c>
      <c r="M64" s="65">
        <f t="shared" si="60"/>
        <v>-3.2982084185737355</v>
      </c>
      <c r="N64" s="65">
        <f t="shared" si="60"/>
        <v>-3.5388086657679807</v>
      </c>
      <c r="O64" s="65">
        <f t="shared" si="60"/>
        <v>276.03595916982925</v>
      </c>
      <c r="P64" s="65">
        <f t="shared" si="60"/>
        <v>-1.8602109670353997</v>
      </c>
      <c r="Q64" s="65">
        <f t="shared" si="60"/>
        <v>-19.402363904810453</v>
      </c>
      <c r="R64" s="65">
        <f t="shared" si="60"/>
        <v>-1.6194148070621668</v>
      </c>
      <c r="S64" s="65">
        <f t="shared" si="60"/>
        <v>41.173739259962076</v>
      </c>
      <c r="T64" s="65">
        <f aca="true" t="shared" si="61" ref="T64:AI64">T62-T60</f>
        <v>-8.86283274528792</v>
      </c>
      <c r="U64" s="65">
        <f t="shared" si="61"/>
        <v>161.0014081838681</v>
      </c>
      <c r="V64" s="65">
        <f t="shared" si="61"/>
        <v>-44.806641679005175</v>
      </c>
      <c r="W64" s="65">
        <f t="shared" si="61"/>
        <v>-74.58854664947167</v>
      </c>
      <c r="X64" s="65">
        <f t="shared" si="61"/>
        <v>-22.27150311088981</v>
      </c>
      <c r="Y64" s="65">
        <f t="shared" si="61"/>
        <v>173.362847958544</v>
      </c>
      <c r="Z64" s="65">
        <f t="shared" si="61"/>
        <v>-41.45211100045765</v>
      </c>
      <c r="AA64" s="65">
        <f t="shared" si="61"/>
        <v>19.327594887999</v>
      </c>
      <c r="AB64" s="65">
        <f t="shared" si="61"/>
        <v>0.4889061035999589</v>
      </c>
      <c r="AC64" s="65">
        <f t="shared" si="61"/>
        <v>-11.660209193960014</v>
      </c>
      <c r="AD64" s="65">
        <f t="shared" si="61"/>
        <v>92.57678679780001</v>
      </c>
      <c r="AE64" s="65">
        <f t="shared" si="61"/>
        <v>-12.664783208</v>
      </c>
      <c r="AF64" s="65">
        <f t="shared" si="61"/>
        <v>182.70238014521328</v>
      </c>
      <c r="AG64" s="65">
        <f t="shared" si="61"/>
        <v>-260.18395257931996</v>
      </c>
      <c r="AH64" s="65">
        <f t="shared" si="61"/>
        <v>0.06220251012000233</v>
      </c>
      <c r="AI64" s="65">
        <f t="shared" si="61"/>
        <v>-30.10643590724001</v>
      </c>
      <c r="AJ64" s="65">
        <f aca="true" t="shared" si="62" ref="AJ64:AP64">AJ62-AJ60</f>
        <v>-20.066593238520003</v>
      </c>
      <c r="AK64" s="65">
        <f t="shared" si="62"/>
        <v>-1.6179960316000006</v>
      </c>
      <c r="AL64" s="65">
        <f t="shared" si="62"/>
        <v>-12.047754856320012</v>
      </c>
      <c r="AM64" s="65">
        <f t="shared" si="62"/>
        <v>-31.287913177279997</v>
      </c>
      <c r="AN64" s="65">
        <f t="shared" si="62"/>
        <v>-17.688346457</v>
      </c>
      <c r="AO64" s="65">
        <f t="shared" si="62"/>
        <v>-38.60467285519999</v>
      </c>
      <c r="AP64" s="65">
        <f t="shared" si="62"/>
        <v>-72.35312963976003</v>
      </c>
      <c r="AQ64" s="65">
        <f>AQ62-AQ60</f>
        <v>-5.536212602240001</v>
      </c>
      <c r="AT64" s="29">
        <f>AT62-AT60</f>
        <v>990.9880915551953</v>
      </c>
      <c r="AU64" s="65">
        <f aca="true" t="shared" si="63" ref="AU64:AZ64">AU62-AU60</f>
        <v>-403.5160992727133</v>
      </c>
      <c r="AV64" s="65">
        <f t="shared" si="63"/>
        <v>6.753624</v>
      </c>
      <c r="AW64" s="65">
        <f t="shared" si="63"/>
        <v>-5.400000000000006</v>
      </c>
      <c r="AX64" s="65">
        <f t="shared" si="63"/>
        <v>-789.5503522448025</v>
      </c>
      <c r="AY64" s="65">
        <f t="shared" si="63"/>
        <v>-7.450352244802161</v>
      </c>
      <c r="AZ64" s="65">
        <f t="shared" si="63"/>
        <v>0</v>
      </c>
    </row>
    <row r="65" spans="1:3" ht="12.75">
      <c r="A65"/>
      <c r="B65"/>
      <c r="C65"/>
    </row>
    <row r="66" spans="1:10" ht="12.75">
      <c r="A66"/>
      <c r="B66"/>
      <c r="C66"/>
      <c r="D66"/>
      <c r="E66"/>
      <c r="F66"/>
      <c r="G66"/>
      <c r="H66"/>
      <c r="I66"/>
      <c r="J66"/>
    </row>
    <row r="67" spans="1:10" ht="12.75">
      <c r="A67"/>
      <c r="B67"/>
      <c r="C67"/>
      <c r="D67"/>
      <c r="E67"/>
      <c r="F67"/>
      <c r="G67"/>
      <c r="H67"/>
      <c r="I67"/>
      <c r="J67"/>
    </row>
    <row r="68" spans="2:9" ht="12.75">
      <c r="B68" s="16"/>
      <c r="C68" s="18"/>
      <c r="D68" s="32"/>
      <c r="I68" s="33"/>
    </row>
    <row r="69" spans="2:9" ht="12.75">
      <c r="B69" s="16"/>
      <c r="C69" s="18"/>
      <c r="D69" s="32"/>
      <c r="I69" s="32"/>
    </row>
    <row r="70" spans="2:9" ht="12.75">
      <c r="B70" s="16"/>
      <c r="C70" s="18"/>
      <c r="D70" s="32"/>
      <c r="I70" s="33"/>
    </row>
    <row r="71" spans="2:10" ht="12.75">
      <c r="B71" s="16"/>
      <c r="C71" s="18"/>
      <c r="D71" s="32"/>
      <c r="F71" s="24"/>
      <c r="H71" s="24"/>
      <c r="I71" s="32"/>
      <c r="J71" s="35"/>
    </row>
    <row r="72" spans="2:10" ht="12.75">
      <c r="B72" s="16"/>
      <c r="C72" s="18"/>
      <c r="D72" s="32"/>
      <c r="E72" s="24"/>
      <c r="F72" s="24"/>
      <c r="G72" s="24"/>
      <c r="H72" s="24"/>
      <c r="I72" s="32"/>
      <c r="J72" s="24"/>
    </row>
    <row r="73" spans="2:9" ht="12.75">
      <c r="B73" s="16"/>
      <c r="C73" s="18"/>
      <c r="D73" s="33"/>
      <c r="I73" s="33"/>
    </row>
    <row r="74" spans="2:9" ht="12.75">
      <c r="B74" s="16"/>
      <c r="C74" s="18"/>
      <c r="D74" s="33"/>
      <c r="I74" s="33"/>
    </row>
    <row r="75" spans="1:10" ht="12.75">
      <c r="A75" s="24"/>
      <c r="B75" s="16"/>
      <c r="C75" s="18"/>
      <c r="D75" s="34"/>
      <c r="E75" s="25"/>
      <c r="F75" s="25"/>
      <c r="G75" s="25"/>
      <c r="H75" s="23"/>
      <c r="I75" s="34"/>
      <c r="J75" s="36"/>
    </row>
    <row r="76" spans="1:10" ht="12.75">
      <c r="A76" s="24"/>
      <c r="B76" s="16"/>
      <c r="C76" s="16"/>
      <c r="D76" s="32"/>
      <c r="G76" s="24"/>
      <c r="H76" s="24"/>
      <c r="I76" s="32"/>
      <c r="J76" s="24"/>
    </row>
    <row r="77" spans="1:10" ht="12.75">
      <c r="A77" s="24"/>
      <c r="B77" s="16"/>
      <c r="C77" s="16"/>
      <c r="D77" s="37"/>
      <c r="H77" s="24"/>
      <c r="I77" s="32"/>
      <c r="J77" s="11"/>
    </row>
    <row r="78" spans="2:10" ht="12.75">
      <c r="B78" s="16"/>
      <c r="C78" s="16"/>
      <c r="D78" s="34"/>
      <c r="E78" s="23"/>
      <c r="F78" s="23"/>
      <c r="G78" s="23"/>
      <c r="H78" s="36"/>
      <c r="I78" s="34"/>
      <c r="J78" s="23"/>
    </row>
    <row r="79" spans="2:9" ht="12.75">
      <c r="B79" s="16"/>
      <c r="C79" s="16"/>
      <c r="D79" s="33"/>
      <c r="I79" s="33"/>
    </row>
    <row r="80" spans="2:9" ht="12.75">
      <c r="B80" s="16"/>
      <c r="C80" s="16"/>
      <c r="D80" s="33"/>
      <c r="I80" s="33"/>
    </row>
    <row r="81" spans="2:9" ht="12.75">
      <c r="B81" s="16"/>
      <c r="C81" s="16"/>
      <c r="D81" s="33"/>
      <c r="I81" s="33"/>
    </row>
    <row r="82" spans="2:9" ht="12.75">
      <c r="B82" s="16"/>
      <c r="C82" s="16"/>
      <c r="D82" s="33"/>
      <c r="I82" s="33"/>
    </row>
    <row r="83" spans="2:9" ht="12.75">
      <c r="B83" s="16"/>
      <c r="C83" s="16"/>
      <c r="D83" s="33"/>
      <c r="I83" s="33"/>
    </row>
    <row r="84" spans="2:9" ht="12.75">
      <c r="B84" s="16"/>
      <c r="C84" s="18"/>
      <c r="D84" s="33"/>
      <c r="I84" s="33"/>
    </row>
    <row r="85" spans="2:9" ht="12.75">
      <c r="B85" s="16"/>
      <c r="C85" s="16"/>
      <c r="D85" s="33"/>
      <c r="I85" s="33"/>
    </row>
    <row r="86" spans="1:10" ht="12.75">
      <c r="A86" s="24"/>
      <c r="B86" s="16"/>
      <c r="C86" s="16"/>
      <c r="D86" s="29"/>
      <c r="E86" s="27"/>
      <c r="F86" s="27"/>
      <c r="G86" s="27"/>
      <c r="H86" s="27"/>
      <c r="I86" s="29"/>
      <c r="J86" s="38"/>
    </row>
    <row r="87" spans="1:10" ht="12.75">
      <c r="A87" s="24"/>
      <c r="B87" s="16"/>
      <c r="C87" s="16"/>
      <c r="D87" s="29"/>
      <c r="E87" s="27"/>
      <c r="F87" s="27"/>
      <c r="G87" s="27"/>
      <c r="H87" s="27"/>
      <c r="I87" s="29"/>
      <c r="J87" s="38"/>
    </row>
    <row r="88" spans="1:10" ht="12.75">
      <c r="A88" s="24"/>
      <c r="B88" s="16"/>
      <c r="C88" s="16"/>
      <c r="D88" s="29"/>
      <c r="E88" s="27"/>
      <c r="F88" s="27"/>
      <c r="G88" s="27"/>
      <c r="H88" s="27"/>
      <c r="I88" s="29"/>
      <c r="J88" s="27"/>
    </row>
    <row r="89" spans="1:9" ht="12.75">
      <c r="A89" s="53"/>
      <c r="B89" s="16"/>
      <c r="C89" s="16"/>
      <c r="D89" s="33"/>
      <c r="I89" s="33"/>
    </row>
    <row r="90" spans="1:10" ht="12.75">
      <c r="A90" s="24"/>
      <c r="B90" s="16"/>
      <c r="C90" s="18"/>
      <c r="D90" s="29"/>
      <c r="E90" s="27"/>
      <c r="F90" s="27"/>
      <c r="G90" s="27"/>
      <c r="H90" s="27"/>
      <c r="I90" s="29"/>
      <c r="J90" s="27"/>
    </row>
    <row r="91" spans="2:3" ht="12.75">
      <c r="B91" s="16"/>
      <c r="C91" s="18"/>
    </row>
    <row r="92" spans="1:10" ht="12.75">
      <c r="A92" s="24"/>
      <c r="B92" s="16"/>
      <c r="C92" s="18"/>
      <c r="D92" s="29"/>
      <c r="E92" s="27"/>
      <c r="F92" s="27"/>
      <c r="G92" s="27"/>
      <c r="H92" s="27"/>
      <c r="I92" s="29"/>
      <c r="J92" s="27"/>
    </row>
    <row r="93" spans="2:9" ht="12.75">
      <c r="B93" s="16"/>
      <c r="C93" s="18"/>
      <c r="I93" s="33"/>
    </row>
    <row r="94" spans="1:10" ht="12.75">
      <c r="A94" s="24"/>
      <c r="B94" s="16"/>
      <c r="C94" s="18"/>
      <c r="D94" s="29"/>
      <c r="E94" s="27"/>
      <c r="F94" s="27"/>
      <c r="G94" s="27"/>
      <c r="H94" s="27"/>
      <c r="I94" s="29"/>
      <c r="J94" s="27"/>
    </row>
  </sheetData>
  <printOptions gridLines="1"/>
  <pageMargins left="0.75" right="0.36" top="0.79" bottom="0.97" header="0.511811023" footer="0.511811023"/>
  <pageSetup horizontalDpi="600" verticalDpi="600" orientation="landscape" paperSize="9" r:id="rId3"/>
  <headerFooter alignWithMargins="0">
    <oddHeader>&amp;L&amp;D&amp;C&amp;A</oddHeader>
    <oddFooter>&amp;LKOF/ETH, MS&amp;CSeite &amp;P</oddFooter>
  </headerFooter>
  <colBreaks count="1" manualBreakCount="1">
    <brk id="46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E94"/>
  <sheetViews>
    <sheetView workbookViewId="0" topLeftCell="A1">
      <pane xSplit="3" ySplit="4" topLeftCell="AX1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X4" sqref="AX4"/>
    </sheetView>
  </sheetViews>
  <sheetFormatPr defaultColWidth="11.421875" defaultRowHeight="12.75" outlineLevelCol="1"/>
  <cols>
    <col min="1" max="1" width="7.421875" style="19" customWidth="1"/>
    <col min="2" max="2" width="4.00390625" style="19" customWidth="1"/>
    <col min="3" max="3" width="23.00390625" style="19" customWidth="1"/>
    <col min="4" max="17" width="11.57421875" style="19" customWidth="1" outlineLevel="1"/>
    <col min="18" max="18" width="11.8515625" style="19" customWidth="1" outlineLevel="1"/>
    <col min="19" max="45" width="11.57421875" style="19" customWidth="1" outlineLevel="1"/>
    <col min="46" max="53" width="11.57421875" style="19" customWidth="1"/>
    <col min="54" max="54" width="19.8515625" style="19" customWidth="1"/>
    <col min="55" max="16384" width="11.57421875" style="19" customWidth="1"/>
  </cols>
  <sheetData>
    <row r="1" ht="12.75"/>
    <row r="2" spans="1:45" ht="15">
      <c r="A2" s="40" t="s">
        <v>100</v>
      </c>
      <c r="D2" s="16">
        <v>1</v>
      </c>
      <c r="E2" s="16">
        <v>2</v>
      </c>
      <c r="F2" s="16">
        <v>3</v>
      </c>
      <c r="G2" s="16">
        <v>4</v>
      </c>
      <c r="H2" s="16">
        <v>5</v>
      </c>
      <c r="I2" s="16">
        <v>6</v>
      </c>
      <c r="J2" s="16">
        <v>7</v>
      </c>
      <c r="K2" s="16">
        <v>8</v>
      </c>
      <c r="L2" s="16">
        <v>9</v>
      </c>
      <c r="M2" s="16">
        <v>10</v>
      </c>
      <c r="N2" s="16">
        <v>11</v>
      </c>
      <c r="O2" s="16">
        <v>12</v>
      </c>
      <c r="P2" s="16">
        <v>13</v>
      </c>
      <c r="Q2" s="16">
        <v>14</v>
      </c>
      <c r="R2" s="16">
        <v>15</v>
      </c>
      <c r="S2" s="16">
        <v>16</v>
      </c>
      <c r="T2" s="16">
        <v>17</v>
      </c>
      <c r="U2" s="16">
        <v>18</v>
      </c>
      <c r="V2" s="16">
        <v>19</v>
      </c>
      <c r="W2" s="16">
        <v>20</v>
      </c>
      <c r="X2" s="16">
        <v>21</v>
      </c>
      <c r="Y2" s="16">
        <v>22</v>
      </c>
      <c r="Z2" s="16">
        <v>23</v>
      </c>
      <c r="AA2" s="16">
        <v>24</v>
      </c>
      <c r="AB2" s="16">
        <v>25</v>
      </c>
      <c r="AC2" s="16">
        <v>26</v>
      </c>
      <c r="AD2" s="16">
        <v>27</v>
      </c>
      <c r="AE2" s="16">
        <v>28</v>
      </c>
      <c r="AF2" s="16">
        <v>29</v>
      </c>
      <c r="AG2" s="16">
        <v>30</v>
      </c>
      <c r="AH2" s="16">
        <v>31</v>
      </c>
      <c r="AI2" s="16">
        <v>32</v>
      </c>
      <c r="AJ2" s="16">
        <v>33</v>
      </c>
      <c r="AK2" s="16">
        <v>34</v>
      </c>
      <c r="AL2" s="16">
        <v>35</v>
      </c>
      <c r="AM2" s="16">
        <v>36</v>
      </c>
      <c r="AN2" s="16">
        <v>37</v>
      </c>
      <c r="AO2" s="16">
        <v>38</v>
      </c>
      <c r="AP2" s="16">
        <v>39</v>
      </c>
      <c r="AQ2" s="16">
        <v>40</v>
      </c>
      <c r="AR2" s="16">
        <v>41</v>
      </c>
      <c r="AS2" s="16">
        <v>42</v>
      </c>
    </row>
    <row r="3" spans="1:56" ht="15">
      <c r="A3" s="40" t="s">
        <v>101</v>
      </c>
      <c r="C3" s="20"/>
      <c r="D3" s="17" t="s">
        <v>102</v>
      </c>
      <c r="E3" s="17" t="s">
        <v>78</v>
      </c>
      <c r="F3" s="17" t="s">
        <v>79</v>
      </c>
      <c r="G3" s="17" t="s">
        <v>80</v>
      </c>
      <c r="H3" s="17" t="s">
        <v>103</v>
      </c>
      <c r="I3" s="17" t="s">
        <v>104</v>
      </c>
      <c r="J3" s="17" t="s">
        <v>105</v>
      </c>
      <c r="K3" s="17" t="s">
        <v>106</v>
      </c>
      <c r="L3" s="17" t="s">
        <v>107</v>
      </c>
      <c r="M3" s="17" t="s">
        <v>108</v>
      </c>
      <c r="N3" s="17" t="s">
        <v>109</v>
      </c>
      <c r="O3" s="17" t="s">
        <v>110</v>
      </c>
      <c r="P3" s="17" t="s">
        <v>111</v>
      </c>
      <c r="Q3" s="17" t="s">
        <v>112</v>
      </c>
      <c r="R3" s="17" t="s">
        <v>113</v>
      </c>
      <c r="S3" s="17" t="s">
        <v>114</v>
      </c>
      <c r="T3" s="17" t="s">
        <v>115</v>
      </c>
      <c r="U3" s="17" t="s">
        <v>116</v>
      </c>
      <c r="V3" s="17" t="s">
        <v>117</v>
      </c>
      <c r="W3" s="17" t="s">
        <v>118</v>
      </c>
      <c r="X3" s="17" t="s">
        <v>119</v>
      </c>
      <c r="Y3" s="17" t="s">
        <v>120</v>
      </c>
      <c r="Z3" s="17" t="s">
        <v>121</v>
      </c>
      <c r="AA3" s="17" t="s">
        <v>122</v>
      </c>
      <c r="AB3" s="17" t="s">
        <v>123</v>
      </c>
      <c r="AC3" s="17" t="s">
        <v>124</v>
      </c>
      <c r="AD3" s="17" t="s">
        <v>125</v>
      </c>
      <c r="AE3" s="17" t="s">
        <v>126</v>
      </c>
      <c r="AF3" s="17" t="s">
        <v>127</v>
      </c>
      <c r="AG3" s="17" t="s">
        <v>128</v>
      </c>
      <c r="AH3" s="17" t="s">
        <v>129</v>
      </c>
      <c r="AI3" s="17" t="s">
        <v>130</v>
      </c>
      <c r="AJ3" s="17" t="s">
        <v>131</v>
      </c>
      <c r="AK3" s="17" t="s">
        <v>132</v>
      </c>
      <c r="AL3" s="17" t="s">
        <v>133</v>
      </c>
      <c r="AM3" s="17" t="s">
        <v>134</v>
      </c>
      <c r="AN3" s="17" t="s">
        <v>135</v>
      </c>
      <c r="AO3" s="17" t="s">
        <v>136</v>
      </c>
      <c r="AP3" s="17" t="s">
        <v>137</v>
      </c>
      <c r="AQ3" s="17" t="s">
        <v>138</v>
      </c>
      <c r="AR3" s="17" t="s">
        <v>187</v>
      </c>
      <c r="AS3" s="17" t="s">
        <v>140</v>
      </c>
      <c r="AT3" s="21" t="s">
        <v>141</v>
      </c>
      <c r="AU3" s="19" t="s">
        <v>142</v>
      </c>
      <c r="AV3" s="19" t="s">
        <v>143</v>
      </c>
      <c r="AW3" s="19" t="s">
        <v>144</v>
      </c>
      <c r="AX3" s="20" t="s">
        <v>145</v>
      </c>
      <c r="AY3" s="19" t="s">
        <v>146</v>
      </c>
      <c r="AZ3" s="19" t="s">
        <v>147</v>
      </c>
      <c r="BA3" s="19" t="s">
        <v>148</v>
      </c>
      <c r="BC3" s="19" t="s">
        <v>146</v>
      </c>
      <c r="BD3" s="19" t="s">
        <v>146</v>
      </c>
    </row>
    <row r="4" spans="1:56" ht="12.75">
      <c r="A4" s="33">
        <v>1995</v>
      </c>
      <c r="AX4" s="20" t="s">
        <v>150</v>
      </c>
      <c r="BA4" s="19" t="s">
        <v>151</v>
      </c>
      <c r="BC4" s="19" t="s">
        <v>680</v>
      </c>
      <c r="BD4" s="19" t="s">
        <v>681</v>
      </c>
    </row>
    <row r="5" spans="1:50" ht="15">
      <c r="A5" s="40" t="s">
        <v>152</v>
      </c>
      <c r="AE5" s="27"/>
      <c r="AX5" s="20"/>
    </row>
    <row r="6" spans="1:50" ht="12.75">
      <c r="A6" t="s">
        <v>153</v>
      </c>
      <c r="C6" s="19" t="s">
        <v>154</v>
      </c>
      <c r="D6" s="24">
        <v>175564</v>
      </c>
      <c r="E6" s="24">
        <f>17000+223</f>
        <v>17223</v>
      </c>
      <c r="F6" s="24">
        <f>(482+1265+4670)*0.4</f>
        <v>2566.8</v>
      </c>
      <c r="G6" s="24">
        <f>(482+1265+4670)*0.6</f>
        <v>3850.2</v>
      </c>
      <c r="H6" s="24">
        <v>428</v>
      </c>
      <c r="I6" s="24">
        <v>52026</v>
      </c>
      <c r="J6" s="24">
        <v>7093</v>
      </c>
      <c r="K6" s="24">
        <v>2969</v>
      </c>
      <c r="L6" s="24">
        <v>16576.12759434211</v>
      </c>
      <c r="M6" s="24">
        <v>14676.405719283492</v>
      </c>
      <c r="N6" s="24">
        <v>51051.02985541009</v>
      </c>
      <c r="O6" s="24">
        <v>5328.411551644584</v>
      </c>
      <c r="P6" s="24">
        <v>14184.242006869728</v>
      </c>
      <c r="Q6" s="24">
        <v>53475.62030904242</v>
      </c>
      <c r="R6" s="24">
        <v>4935.62486803387</v>
      </c>
      <c r="S6" s="24">
        <v>65366.404112847325</v>
      </c>
      <c r="T6" s="24">
        <v>21766.92211811758</v>
      </c>
      <c r="U6" s="24">
        <v>27356.44372357739</v>
      </c>
      <c r="V6" s="24">
        <v>87998.3130103507</v>
      </c>
      <c r="W6" s="24">
        <v>182743.87226542755</v>
      </c>
      <c r="X6" s="24">
        <v>169432.0206614711</v>
      </c>
      <c r="Y6" s="24">
        <v>166313.0100324635</v>
      </c>
      <c r="Z6" s="24">
        <v>136846.72229849873</v>
      </c>
      <c r="AA6" s="24">
        <v>175429.33857222533</v>
      </c>
      <c r="AB6" s="24">
        <v>289772.9325069031</v>
      </c>
      <c r="AC6" s="24">
        <v>199138.82707017203</v>
      </c>
      <c r="AD6" s="24">
        <f>46512.6+2859</f>
        <v>49371.6</v>
      </c>
      <c r="AE6" s="24">
        <f>EnergNa90!AE6/SUM(EnergNa90!$AE6:$AG6)*88588</f>
        <v>10269.398485768894</v>
      </c>
      <c r="AF6" s="24">
        <f>EnergNa90!AF6/SUM(EnergNa90!$AE6:$AG6)*88588</f>
        <v>48116.3670701653</v>
      </c>
      <c r="AG6" s="24">
        <f>EnergNa90!AG6/SUM(EnergNa90!$AE6:$AG6)*88588</f>
        <v>30202.234444065805</v>
      </c>
      <c r="AH6" s="24">
        <v>73244.1591255617</v>
      </c>
      <c r="AI6" s="24">
        <v>120416.55799728846</v>
      </c>
      <c r="AJ6" s="24">
        <v>56493.22147744097</v>
      </c>
      <c r="AK6" s="24">
        <v>14508.194471054805</v>
      </c>
      <c r="AL6" s="24">
        <v>361048.33277373615</v>
      </c>
      <c r="AM6" s="24">
        <v>187551.39965278134</v>
      </c>
      <c r="AN6" s="24">
        <v>195931.80937044087</v>
      </c>
      <c r="AO6" s="24">
        <v>17131.846276948134</v>
      </c>
      <c r="AP6" s="24">
        <v>123480.07968259975</v>
      </c>
      <c r="AQ6" s="24">
        <v>6313.150096091918</v>
      </c>
      <c r="AS6" s="11"/>
      <c r="AT6" s="63">
        <f>SUM(D6:AS6)</f>
        <v>3238190.619200625</v>
      </c>
      <c r="AX6" s="12"/>
    </row>
    <row r="7" spans="1:51" ht="12.75">
      <c r="A7" s="19" t="s">
        <v>155</v>
      </c>
      <c r="C7" s="19" t="s">
        <v>156</v>
      </c>
      <c r="D7" s="27">
        <v>7514</v>
      </c>
      <c r="E7" s="28">
        <v>12455.4</v>
      </c>
      <c r="F7" s="28"/>
      <c r="G7" s="28"/>
      <c r="H7" s="27">
        <v>5846.0202161264015</v>
      </c>
      <c r="I7" s="27">
        <v>1543.2169363265084</v>
      </c>
      <c r="J7" s="27">
        <v>2102.2095593755216</v>
      </c>
      <c r="K7" s="27">
        <v>1573.0158437694377</v>
      </c>
      <c r="L7" s="27">
        <v>889.5747076259412</v>
      </c>
      <c r="M7" s="27">
        <v>4151.278027955827</v>
      </c>
      <c r="N7" s="27">
        <v>472.7</v>
      </c>
      <c r="O7" s="27">
        <v>4151.3</v>
      </c>
      <c r="P7" s="27">
        <v>1638.7444961171836</v>
      </c>
      <c r="Q7" s="27">
        <v>5326.745308449431</v>
      </c>
      <c r="R7" s="27">
        <v>336.0233922766249</v>
      </c>
      <c r="S7" s="27">
        <v>16788.731706145885</v>
      </c>
      <c r="T7" s="27">
        <v>2687.323895563345</v>
      </c>
      <c r="U7" s="27">
        <v>3704.1508790730372</v>
      </c>
      <c r="V7" s="27">
        <v>9822.249900108449</v>
      </c>
      <c r="W7" s="27">
        <v>20402.28649151993</v>
      </c>
      <c r="X7" s="27">
        <v>18935.342042733122</v>
      </c>
      <c r="Y7" s="27">
        <v>13415.352219935592</v>
      </c>
      <c r="Z7" s="27">
        <v>10659.999739907027</v>
      </c>
      <c r="AA7" s="27">
        <v>21582.030896039516</v>
      </c>
      <c r="AB7" s="27">
        <v>22000.5098560365</v>
      </c>
      <c r="AC7" s="27">
        <v>12079.525119090607</v>
      </c>
      <c r="AD7" s="27">
        <f>3566.6+260.8</f>
        <v>3827.4</v>
      </c>
      <c r="AE7" s="27">
        <f>0.549*AE8</f>
        <v>516.7444930772978</v>
      </c>
      <c r="AF7" s="27">
        <f>0.549*AF8</f>
        <v>5068.616806922702</v>
      </c>
      <c r="AG7" s="28">
        <f>1904*0.989</f>
        <v>1883.056</v>
      </c>
      <c r="AH7" s="27">
        <v>10452.5</v>
      </c>
      <c r="AI7" s="27">
        <f>36253.3-13851</f>
        <v>22402.300000000003</v>
      </c>
      <c r="AJ7" s="27">
        <v>7172.689847489007</v>
      </c>
      <c r="AK7" s="27">
        <v>22934.688917732467</v>
      </c>
      <c r="AL7" s="27">
        <v>30561.994475486215</v>
      </c>
      <c r="AM7" s="27">
        <v>4624.469734332456</v>
      </c>
      <c r="AN7" s="27">
        <v>11318.896099220632</v>
      </c>
      <c r="AO7" s="27">
        <v>8820.290699107287</v>
      </c>
      <c r="AP7" s="27">
        <v>25642.371063661856</v>
      </c>
      <c r="AQ7" s="27">
        <v>4595.585665257493</v>
      </c>
      <c r="AR7">
        <f>371644.1-373750.3</f>
        <v>-2106.2000000000116</v>
      </c>
      <c r="AS7" s="27">
        <f>13851</f>
        <v>13851</v>
      </c>
      <c r="AT7" s="65">
        <f>SUM(D7:AS7)</f>
        <v>371644.13503646327</v>
      </c>
      <c r="AX7" s="20"/>
      <c r="AY7" s="20"/>
    </row>
    <row r="8" spans="1:51" ht="12.75">
      <c r="A8" s="19" t="s">
        <v>155</v>
      </c>
      <c r="C8" s="19" t="s">
        <v>157</v>
      </c>
      <c r="D8" s="27">
        <v>13170.2</v>
      </c>
      <c r="E8" s="28">
        <v>21681.1</v>
      </c>
      <c r="F8" s="28"/>
      <c r="G8" s="28"/>
      <c r="H8" s="27">
        <v>2810.9</v>
      </c>
      <c r="I8" s="27">
        <v>22871.411037566402</v>
      </c>
      <c r="J8" s="27">
        <v>3554.804890002508</v>
      </c>
      <c r="K8" s="27">
        <v>3190.3972879165212</v>
      </c>
      <c r="L8" s="27">
        <v>3763.556960533437</v>
      </c>
      <c r="M8" s="27">
        <v>2225.457971673373</v>
      </c>
      <c r="N8" s="27">
        <v>1059.9</v>
      </c>
      <c r="O8" s="27">
        <v>9312.2</v>
      </c>
      <c r="P8" s="27">
        <v>4402.656799099183</v>
      </c>
      <c r="Q8" s="27">
        <v>10964.353455620429</v>
      </c>
      <c r="R8" s="27">
        <v>725.4997390753741</v>
      </c>
      <c r="S8" s="27">
        <v>35980.96435702617</v>
      </c>
      <c r="T8" s="27">
        <v>6090.548917171345</v>
      </c>
      <c r="U8" s="27">
        <v>8382.177496317037</v>
      </c>
      <c r="V8" s="27">
        <v>23002.077139945955</v>
      </c>
      <c r="W8" s="27">
        <v>48336.119973427216</v>
      </c>
      <c r="X8" s="27">
        <v>43880.15406447374</v>
      </c>
      <c r="Y8" s="27">
        <v>25161.178361297592</v>
      </c>
      <c r="Z8" s="27">
        <v>19086.256202244025</v>
      </c>
      <c r="AA8" s="27">
        <v>35873.80915106026</v>
      </c>
      <c r="AB8" s="27">
        <v>30367.572627652495</v>
      </c>
      <c r="AC8" s="27">
        <v>23657.155014572607</v>
      </c>
      <c r="AD8" s="27">
        <f>5664.9+608</f>
        <v>6272.9</v>
      </c>
      <c r="AE8" s="27">
        <f>EnergNa90!AE8/(EnergNa90!AE8+EnergNa90!AF8)*10173.7</f>
        <v>941.2467997764986</v>
      </c>
      <c r="AF8" s="27">
        <f>EnergNa90!AF8/(EnergNa90!AE8+EnergNa90!AF8)*10173.7</f>
        <v>9232.453200223501</v>
      </c>
      <c r="AG8" s="28">
        <f>3998*0.989</f>
        <v>3954.022</v>
      </c>
      <c r="AH8" s="27">
        <v>14995.174708510967</v>
      </c>
      <c r="AI8" s="27">
        <v>47785.85014780298</v>
      </c>
      <c r="AJ8" s="27">
        <v>14215.276813589006</v>
      </c>
      <c r="AK8" s="27">
        <v>30638.807049442465</v>
      </c>
      <c r="AL8" s="27">
        <v>49863.708872856456</v>
      </c>
      <c r="AM8" s="27">
        <v>8852.57319057502</v>
      </c>
      <c r="AN8" s="27">
        <v>16966.81198673663</v>
      </c>
      <c r="AO8" s="27">
        <v>13415.198783202286</v>
      </c>
      <c r="AP8" s="27">
        <v>34688.13280327386</v>
      </c>
      <c r="AQ8" s="27">
        <v>8931.894680647492</v>
      </c>
      <c r="AR8"/>
      <c r="AS8" s="27"/>
      <c r="AT8" s="65">
        <f>SUM(D8:AS8)</f>
        <v>660304.5024833129</v>
      </c>
      <c r="AX8" s="20"/>
      <c r="AY8" s="20"/>
    </row>
    <row r="9" spans="1:51" ht="12.75">
      <c r="A9" s="19" t="s">
        <v>155</v>
      </c>
      <c r="C9" s="19" t="s">
        <v>158</v>
      </c>
      <c r="D9" s="54">
        <v>194.88643056801146</v>
      </c>
      <c r="E9" s="54">
        <v>0.6297433646117622</v>
      </c>
      <c r="F9" s="54">
        <v>0.04976392050305782</v>
      </c>
      <c r="G9" s="54">
        <v>0.053342837363817494</v>
      </c>
      <c r="H9" s="54">
        <v>1.5135744450503223</v>
      </c>
      <c r="I9" s="54">
        <v>152.3428768141973</v>
      </c>
      <c r="J9" s="54">
        <v>1.0095480042452791</v>
      </c>
      <c r="K9" s="54">
        <v>0.5101854438924982</v>
      </c>
      <c r="L9" s="54">
        <v>6.617239229055466</v>
      </c>
      <c r="M9" s="54">
        <v>0.43752099941867734</v>
      </c>
      <c r="N9" s="54">
        <v>48.82548756778399</v>
      </c>
      <c r="O9" s="54">
        <v>52.46605235455391</v>
      </c>
      <c r="P9" s="54">
        <v>5.582320441743782</v>
      </c>
      <c r="Q9" s="54">
        <v>5.1693581998371165</v>
      </c>
      <c r="R9" s="54">
        <v>3.5871800796102153</v>
      </c>
      <c r="S9" s="54">
        <v>46.105745542550245</v>
      </c>
      <c r="T9" s="54">
        <v>9.55318614354185</v>
      </c>
      <c r="U9" s="54">
        <v>12.362818958248196</v>
      </c>
      <c r="V9" s="54">
        <v>147.49127675506423</v>
      </c>
      <c r="W9" s="54">
        <v>142.43597220661817</v>
      </c>
      <c r="X9" s="54">
        <v>66.49115034980782</v>
      </c>
      <c r="Y9" s="54">
        <v>546.7220298079004</v>
      </c>
      <c r="Z9" s="54">
        <v>361.7913022643294</v>
      </c>
      <c r="AA9" s="54">
        <v>543.172539934094</v>
      </c>
      <c r="AB9" s="54">
        <v>9.52397858086753</v>
      </c>
      <c r="AC9" s="54">
        <v>219.83832524349847</v>
      </c>
      <c r="AD9" s="54">
        <v>1.521412560737759</v>
      </c>
      <c r="AE9" s="54">
        <v>0.73862982115055</v>
      </c>
      <c r="AF9" s="54">
        <v>38.732232622588704</v>
      </c>
      <c r="AG9" s="54">
        <v>15.873364393402735</v>
      </c>
      <c r="AH9" s="54">
        <v>3.350575964269148</v>
      </c>
      <c r="AI9" s="54">
        <v>2.45499184652239</v>
      </c>
      <c r="AJ9" s="54">
        <v>1.8388911328141322</v>
      </c>
      <c r="AK9" s="54">
        <v>3.3872092883518556</v>
      </c>
      <c r="AL9" s="54">
        <v>101.12518646963689</v>
      </c>
      <c r="AM9" s="54">
        <v>1.8345726795754567</v>
      </c>
      <c r="AN9" s="54">
        <v>5.976907364587375</v>
      </c>
      <c r="AO9" s="54">
        <v>3.298991187455387</v>
      </c>
      <c r="AP9" s="54">
        <v>30.783757662797754</v>
      </c>
      <c r="AQ9" s="54">
        <v>0.19905379317119204</v>
      </c>
      <c r="AR9" s="54"/>
      <c r="AS9" s="54"/>
      <c r="AT9" s="65"/>
      <c r="AX9" s="20"/>
      <c r="AY9" s="20"/>
    </row>
    <row r="10" spans="1:51" ht="12.75">
      <c r="A10" s="19" t="s">
        <v>155</v>
      </c>
      <c r="C10" s="19" t="s">
        <v>159</v>
      </c>
      <c r="D10" s="84">
        <v>458.7431149213467</v>
      </c>
      <c r="E10" s="84">
        <v>4.705734125621858</v>
      </c>
      <c r="F10" s="84">
        <v>0.5137922022991736</v>
      </c>
      <c r="G10" s="84">
        <v>0.7964730051246365</v>
      </c>
      <c r="H10" s="84">
        <v>4.036663608071124</v>
      </c>
      <c r="I10" s="84">
        <v>388.9971360848525</v>
      </c>
      <c r="J10" s="84">
        <v>4.912569843103987</v>
      </c>
      <c r="K10" s="84">
        <v>2.992260935787184</v>
      </c>
      <c r="L10" s="84">
        <v>44.603768787268585</v>
      </c>
      <c r="M10" s="84">
        <v>2.4925178921288484</v>
      </c>
      <c r="N10" s="84">
        <v>111.06265596429185</v>
      </c>
      <c r="O10" s="84">
        <v>127.78374384915378</v>
      </c>
      <c r="P10" s="84">
        <v>24.244519941549303</v>
      </c>
      <c r="Q10" s="84">
        <v>26.03574914173737</v>
      </c>
      <c r="R10" s="84">
        <v>7.570124820035962</v>
      </c>
      <c r="S10" s="84">
        <v>227.2234396841346</v>
      </c>
      <c r="T10" s="84">
        <v>37.22564623512857</v>
      </c>
      <c r="U10" s="84">
        <v>42.91214811892297</v>
      </c>
      <c r="V10" s="84">
        <v>535.9595482548978</v>
      </c>
      <c r="W10" s="84">
        <v>564.1224753538131</v>
      </c>
      <c r="X10" s="84">
        <v>274.20981966612055</v>
      </c>
      <c r="Y10" s="84">
        <v>1303.1198615728804</v>
      </c>
      <c r="Z10" s="84">
        <v>897.3245611544228</v>
      </c>
      <c r="AA10" s="84">
        <v>1541.5379273797848</v>
      </c>
      <c r="AB10" s="84">
        <v>39.92980694104503</v>
      </c>
      <c r="AC10" s="84">
        <v>541.797139874421</v>
      </c>
      <c r="AD10" s="84">
        <v>7.124015491646622</v>
      </c>
      <c r="AE10" s="84">
        <v>2.570548730838963</v>
      </c>
      <c r="AF10" s="84">
        <v>223.05292255871677</v>
      </c>
      <c r="AG10" s="84">
        <v>49.87952406681142</v>
      </c>
      <c r="AH10" s="84">
        <v>16.623306652763823</v>
      </c>
      <c r="AI10" s="84">
        <v>21.27036380146732</v>
      </c>
      <c r="AJ10" s="84">
        <v>10.089264368365702</v>
      </c>
      <c r="AK10" s="84">
        <v>27.44953021550057</v>
      </c>
      <c r="AL10" s="84">
        <v>306.52765302957613</v>
      </c>
      <c r="AM10" s="84">
        <v>8.950702311392275</v>
      </c>
      <c r="AN10" s="84">
        <v>26.936159378063646</v>
      </c>
      <c r="AO10" s="84">
        <v>16.853215272486896</v>
      </c>
      <c r="AP10" s="84">
        <v>137.05990140458772</v>
      </c>
      <c r="AQ10" s="84">
        <v>1.8785566000140275</v>
      </c>
      <c r="AR10" s="54"/>
      <c r="AS10" s="54"/>
      <c r="AT10" s="29"/>
      <c r="AX10" s="20"/>
      <c r="AY10" s="33"/>
    </row>
    <row r="11" spans="2:54" ht="12.75">
      <c r="B11" s="16"/>
      <c r="C11" s="18"/>
      <c r="AT11" s="33"/>
      <c r="AU11" s="19">
        <f>3061*2.3</f>
        <v>7040.299999999999</v>
      </c>
      <c r="AV11"/>
      <c r="AW11"/>
      <c r="AX11" s="12"/>
      <c r="AY11"/>
      <c r="AZ11"/>
      <c r="BA11"/>
      <c r="BB11" s="19" t="s">
        <v>188</v>
      </c>
    </row>
    <row r="12" spans="1:56" ht="12.75">
      <c r="A12" s="19" t="s">
        <v>160</v>
      </c>
      <c r="B12" s="24">
        <v>2</v>
      </c>
      <c r="C12" s="27" t="s">
        <v>78</v>
      </c>
      <c r="D12" s="24">
        <f>EnergNa90!D12*$BB12</f>
        <v>3334.4346</v>
      </c>
      <c r="E12" s="26">
        <f>18840+AZ13*1</f>
        <v>123050</v>
      </c>
      <c r="F12" s="26">
        <f>EnergNa90!F12*$BB12</f>
        <v>1262.9316000000001</v>
      </c>
      <c r="G12" s="22"/>
      <c r="H12" s="24">
        <f>EnergNa90!H12*$BB12</f>
        <v>209.7858</v>
      </c>
      <c r="I12" s="26">
        <f>EnergNa90!I12*$BB12</f>
        <v>4494.0546</v>
      </c>
      <c r="J12" s="22"/>
      <c r="K12" s="22"/>
      <c r="L12" s="24">
        <f>EnergNa90!L12*$BB12</f>
        <v>5026.4256000000005</v>
      </c>
      <c r="M12" s="24">
        <f>EnergNa90!M12*$BB12</f>
        <v>336.2898</v>
      </c>
      <c r="N12" s="24">
        <f>EnergNa90!N12*$BB12</f>
        <v>2911.7004</v>
      </c>
      <c r="O12" s="22"/>
      <c r="P12" s="24">
        <f>EnergNa90!P12*$BB12</f>
        <v>6958.7742</v>
      </c>
      <c r="Q12" s="24">
        <f>EnergNa90!Q12*$BB12</f>
        <v>1285.0698</v>
      </c>
      <c r="R12" s="24">
        <f>EnergNa90!R12*$BB12</f>
        <v>73.794</v>
      </c>
      <c r="S12" s="24">
        <f>EnergNa90!S12*$BB12</f>
        <v>10399.683</v>
      </c>
      <c r="T12" s="24">
        <f>EnergNa90!T12*$BB12</f>
        <v>2361.408</v>
      </c>
      <c r="U12" s="24">
        <f>EnergNa90!U12*$BB12</f>
        <v>3724.4886</v>
      </c>
      <c r="V12" s="24">
        <f>EnergNa90!V12*$BB12</f>
        <v>12060.048</v>
      </c>
      <c r="W12" s="24">
        <f>EnergNa90!W12*$BB12</f>
        <v>4187.2824</v>
      </c>
      <c r="X12" s="24">
        <f>EnergNa90!X12*$BB12</f>
        <v>3059.2884</v>
      </c>
      <c r="Y12" s="24">
        <f>EnergNa90!Y12*$BB12</f>
        <v>3064.5594</v>
      </c>
      <c r="Z12" s="24">
        <f>EnergNa90!Z12*$BB12</f>
        <v>1153.2948000000001</v>
      </c>
      <c r="AA12" s="24">
        <f>EnergNa90!AA12*$BB12</f>
        <v>1166.9994</v>
      </c>
      <c r="AB12" s="24">
        <f>EnergNa90!AB12*$BB12</f>
        <v>10789.737000000001</v>
      </c>
      <c r="AC12" s="24">
        <f>EnergNa90!AC12*$BB12</f>
        <v>6872.3298</v>
      </c>
      <c r="AD12" s="24">
        <f>EnergNa90!AD12*$BB12</f>
        <v>9286.4478</v>
      </c>
      <c r="AE12" s="24">
        <f>EnergNa90!AE12*$BB12</f>
        <v>1162.7826</v>
      </c>
      <c r="AF12" s="24">
        <f>EnergNa90!AF12*$BB12</f>
        <v>527.1</v>
      </c>
      <c r="AG12" s="24">
        <f>EnergNa90!AG12*$BB12</f>
        <v>527.1</v>
      </c>
      <c r="AI12" s="26">
        <f>EnergNa90!AI12*$BB12</f>
        <v>3503.1066</v>
      </c>
      <c r="AJ12" s="22"/>
      <c r="AM12" s="24">
        <f>EnergNa90!AM12*$BB12</f>
        <v>3961.6836000000003</v>
      </c>
      <c r="AN12" s="24">
        <f>EnergNa90!AN12*$BB12</f>
        <v>2759.8956000000003</v>
      </c>
      <c r="AO12" s="24">
        <f>EnergNa90!AO12*$BB12</f>
        <v>1151.1864</v>
      </c>
      <c r="AP12" s="26">
        <f>EnergNa90!AP12*$BB12</f>
        <v>11905.080600000001</v>
      </c>
      <c r="AQ12" s="22"/>
      <c r="AT12" s="32">
        <f aca="true" t="shared" si="0" ref="AT12:AT21">SUM(D12:AS12)</f>
        <v>242566.76239999995</v>
      </c>
      <c r="AX12" s="35">
        <v>172377</v>
      </c>
      <c r="AY12" s="33" t="s">
        <v>189</v>
      </c>
      <c r="BA12" s="19" t="s">
        <v>190</v>
      </c>
      <c r="BB12" s="19">
        <v>1.0542</v>
      </c>
      <c r="BC12" s="24">
        <f>AY13-AW13</f>
        <v>295426.76239999995</v>
      </c>
      <c r="BD12" s="24">
        <f>BC12+AZ13</f>
        <v>399636.76239999995</v>
      </c>
    </row>
    <row r="13" spans="1:57" ht="12.75">
      <c r="A13" s="19" t="s">
        <v>162</v>
      </c>
      <c r="B13" s="24">
        <v>2</v>
      </c>
      <c r="C13" s="27" t="s">
        <v>78</v>
      </c>
      <c r="D13" s="24">
        <f>D12</f>
        <v>3334.4346</v>
      </c>
      <c r="E13" s="24">
        <f>E12</f>
        <v>123050</v>
      </c>
      <c r="F13" s="24">
        <f>F12-700</f>
        <v>562.9316000000001</v>
      </c>
      <c r="G13" s="24">
        <f>F12-F13</f>
        <v>700</v>
      </c>
      <c r="H13" s="24">
        <f>H12</f>
        <v>209.7858</v>
      </c>
      <c r="I13" s="30">
        <f>I$7/SUM($I$7:$K$7)*$I$12+500</f>
        <v>1828.9983332839645</v>
      </c>
      <c r="J13" s="26">
        <f>J7/SUM($I7:$K7)*$I12</f>
        <v>1810.395502316193</v>
      </c>
      <c r="K13" s="26">
        <f>K7/SUM($I7:$K7)*$I12-500</f>
        <v>854.660764399843</v>
      </c>
      <c r="L13" s="24">
        <f>L12</f>
        <v>5026.4256000000005</v>
      </c>
      <c r="M13" s="24">
        <f>M12</f>
        <v>336.2898</v>
      </c>
      <c r="N13" s="30">
        <f>N7/($N7+$O7)*N12</f>
        <v>297.6558778287197</v>
      </c>
      <c r="O13" s="30">
        <f>O7/($N7+$O7)*N12</f>
        <v>2614.0445221712807</v>
      </c>
      <c r="P13" s="24">
        <f aca="true" t="shared" si="1" ref="P13:AG13">P12</f>
        <v>6958.7742</v>
      </c>
      <c r="Q13" s="24">
        <f t="shared" si="1"/>
        <v>1285.0698</v>
      </c>
      <c r="R13" s="24">
        <f t="shared" si="1"/>
        <v>73.794</v>
      </c>
      <c r="S13" s="24">
        <f t="shared" si="1"/>
        <v>10399.683</v>
      </c>
      <c r="T13" s="24">
        <f t="shared" si="1"/>
        <v>2361.408</v>
      </c>
      <c r="U13" s="24">
        <f t="shared" si="1"/>
        <v>3724.4886</v>
      </c>
      <c r="V13" s="24">
        <f t="shared" si="1"/>
        <v>12060.048</v>
      </c>
      <c r="W13" s="24">
        <f t="shared" si="1"/>
        <v>4187.2824</v>
      </c>
      <c r="X13" s="24">
        <f t="shared" si="1"/>
        <v>3059.2884</v>
      </c>
      <c r="Y13" s="24">
        <f t="shared" si="1"/>
        <v>3064.5594</v>
      </c>
      <c r="Z13" s="24">
        <f t="shared" si="1"/>
        <v>1153.2948000000001</v>
      </c>
      <c r="AA13" s="24">
        <f t="shared" si="1"/>
        <v>1166.9994</v>
      </c>
      <c r="AB13" s="24">
        <f t="shared" si="1"/>
        <v>10789.737000000001</v>
      </c>
      <c r="AC13" s="24">
        <f t="shared" si="1"/>
        <v>6872.3298</v>
      </c>
      <c r="AD13" s="24">
        <f t="shared" si="1"/>
        <v>9286.4478</v>
      </c>
      <c r="AE13" s="24">
        <f t="shared" si="1"/>
        <v>1162.7826</v>
      </c>
      <c r="AF13" s="26">
        <f t="shared" si="1"/>
        <v>527.1</v>
      </c>
      <c r="AG13" s="26">
        <f t="shared" si="1"/>
        <v>527.1</v>
      </c>
      <c r="AH13" s="24">
        <f>AH7/($AH7+$AK7+$AL7+$AP7+$AQ7)*$AP12</f>
        <v>1321.1767000265015</v>
      </c>
      <c r="AI13" s="30">
        <f>AI6/($AI6+$AJ6)*$AI12</f>
        <v>2384.4472607566636</v>
      </c>
      <c r="AJ13" s="30">
        <f>AJ6/($AI6+$AJ6)*$AI12</f>
        <v>1118.6593392433365</v>
      </c>
      <c r="AK13" s="24">
        <f>AK$7/($AH7+$AK7+$AL7+$AP7+$AQ7)*$AP12</f>
        <v>2898.9023315440472</v>
      </c>
      <c r="AL13" s="24">
        <f>AL7/($AH7+$AK7+$AL7+$AP7+$AQ7)*$AP12+1000+500</f>
        <v>5362.979670638704</v>
      </c>
      <c r="AM13" s="30">
        <f>AM12</f>
        <v>3961.6836000000003</v>
      </c>
      <c r="AN13" s="30">
        <f>AN12</f>
        <v>2759.8956000000003</v>
      </c>
      <c r="AO13" s="30">
        <f>AO12</f>
        <v>1151.1864</v>
      </c>
      <c r="AP13" s="24">
        <f>AP7/($AH7+$AK7+$AL7+$AP7+$AQ7)*$AP12</f>
        <v>3241.148355201514</v>
      </c>
      <c r="AQ13" s="24">
        <f>AQ7/($AH7+$AK7+$AL7+$AP7+$AQ7)*$AP12</f>
        <v>580.873542589236</v>
      </c>
      <c r="AS13" s="24"/>
      <c r="AT13" s="32">
        <f t="shared" si="0"/>
        <v>244066.76239999998</v>
      </c>
      <c r="AU13" s="19">
        <v>52860</v>
      </c>
      <c r="AW13" s="19">
        <v>130390</v>
      </c>
      <c r="AX13" s="63">
        <f>AY13-AW13-E13</f>
        <v>172376.76239999995</v>
      </c>
      <c r="AY13" s="62">
        <f>AT12+AU13+AW13</f>
        <v>425816.76239999995</v>
      </c>
      <c r="AZ13" s="19">
        <v>104210</v>
      </c>
      <c r="BA13" s="24">
        <f>AX13/3.6</f>
        <v>47882.43399999999</v>
      </c>
      <c r="BB13" s="19" t="s">
        <v>163</v>
      </c>
      <c r="BC13" s="120">
        <f>BC12/AY13</f>
        <v>0.6937884754346156</v>
      </c>
      <c r="BD13" s="120">
        <f>BD12/AY13</f>
        <v>0.9385181554327651</v>
      </c>
      <c r="BE13" s="24"/>
    </row>
    <row r="14" spans="1:57" ht="12.75">
      <c r="A14" s="19" t="s">
        <v>160</v>
      </c>
      <c r="B14" s="24">
        <v>3</v>
      </c>
      <c r="C14" s="27" t="s">
        <v>79</v>
      </c>
      <c r="D14" s="24">
        <f>EnergNa90!D14*$BB14</f>
        <v>230.3</v>
      </c>
      <c r="E14" s="24">
        <f>EnergNa90!E14*$BB14</f>
        <v>243.775</v>
      </c>
      <c r="F14" s="30">
        <f>EnergNa90!F14*95540/70480</f>
        <v>1626.6742338251986</v>
      </c>
      <c r="G14" s="24">
        <f>EnergNa90!G14*$BB14</f>
        <v>110.25000000000001</v>
      </c>
      <c r="H14" s="24">
        <f>EnergNa90!H14*$BB14</f>
        <v>24.5</v>
      </c>
      <c r="I14" s="26">
        <f>EnergNa90!I14*$BB14</f>
        <v>5027.400000000001</v>
      </c>
      <c r="J14" s="22"/>
      <c r="K14" s="22"/>
      <c r="L14" s="24">
        <f>EnergNa90!L14*$BB14</f>
        <v>1628.025</v>
      </c>
      <c r="M14" s="24">
        <f>EnergNa90!M14*$BB14</f>
        <v>297.675</v>
      </c>
      <c r="N14" s="26">
        <f>EnergNa90!N14*$BB14</f>
        <v>893.0250000000001</v>
      </c>
      <c r="O14" s="22"/>
      <c r="P14" s="24">
        <f>EnergNa90!P14*$BB14</f>
        <v>3480.2250000000004</v>
      </c>
      <c r="Q14" s="24">
        <f>EnergNa90!Q14*$BB14</f>
        <v>1176</v>
      </c>
      <c r="R14" s="24">
        <f>EnergNa90!R14*$BB14</f>
        <v>525.5250000000001</v>
      </c>
      <c r="S14" s="24">
        <f>EnergNa90!S14*$BB14</f>
        <v>11293.275000000001</v>
      </c>
      <c r="T14" s="24">
        <f>EnergNa90!T14*$BB14</f>
        <v>525.5250000000001</v>
      </c>
      <c r="U14" s="24">
        <f>EnergNa90!U14*$BB14</f>
        <v>4135.6</v>
      </c>
      <c r="V14" s="24">
        <f>EnergNa90!V14*$BB14</f>
        <v>4639.075000000001</v>
      </c>
      <c r="W14" s="24">
        <f>EnergNa90!W14*$BB14</f>
        <v>2309.125</v>
      </c>
      <c r="X14" s="24">
        <f>EnergNa90!X14*$BB14</f>
        <v>2768.5</v>
      </c>
      <c r="Y14" s="24">
        <f>EnergNa90!Y14*$BB14</f>
        <v>396.90000000000003</v>
      </c>
      <c r="Z14" s="24">
        <f>EnergNa90!Z14*$BB14</f>
        <v>216.82500000000002</v>
      </c>
      <c r="AA14" s="24">
        <f>EnergNa90!AA14*$BB14</f>
        <v>574.5250000000001</v>
      </c>
      <c r="AB14" s="24">
        <f>EnergNa90!AB14*$BB14</f>
        <v>1841.1750000000002</v>
      </c>
      <c r="AC14" s="24">
        <f>EnergNa90!AC14*$BB14</f>
        <v>2191.525</v>
      </c>
      <c r="AD14" s="24">
        <f>EnergNa90!AD14*$BB14</f>
        <v>735</v>
      </c>
      <c r="AE14" s="24">
        <f>EnergNa90!AE14*$BB14</f>
        <v>147</v>
      </c>
      <c r="AF14" s="24">
        <f>EnergNa90!AF14*$BB14</f>
        <v>61.25000000000001</v>
      </c>
      <c r="AG14" s="26">
        <f>EnergNa90!AG14*$BB14</f>
        <v>1470</v>
      </c>
      <c r="AH14" s="22"/>
      <c r="AI14" s="26">
        <f>EnergNa90!AI14*$BB14</f>
        <v>670.075</v>
      </c>
      <c r="AJ14" s="22"/>
      <c r="AM14" s="24">
        <f>EnergNa90!AM14*$BB14</f>
        <v>1962.45</v>
      </c>
      <c r="AN14" s="24">
        <f>EnergNa90!AN14*$BB14</f>
        <v>1194.375</v>
      </c>
      <c r="AO14" s="24">
        <f>EnergNa90!AO14*$BB14</f>
        <v>1043.7</v>
      </c>
      <c r="AP14" s="26">
        <f>EnergNa90!AP14*$BB14</f>
        <v>6071.1</v>
      </c>
      <c r="AQ14" s="22"/>
      <c r="AT14" s="32">
        <f t="shared" si="0"/>
        <v>59510.37423382519</v>
      </c>
      <c r="AX14" s="62">
        <f>26539*3.6</f>
        <v>95540.40000000001</v>
      </c>
      <c r="AY14" s="33" t="s">
        <v>189</v>
      </c>
      <c r="BB14" s="19">
        <v>1.225</v>
      </c>
      <c r="BC14" s="120"/>
      <c r="BD14" s="120"/>
      <c r="BE14" s="120"/>
    </row>
    <row r="15" spans="1:54" ht="12.75">
      <c r="A15" s="19" t="s">
        <v>162</v>
      </c>
      <c r="B15" s="24">
        <v>3</v>
      </c>
      <c r="C15" s="27" t="s">
        <v>79</v>
      </c>
      <c r="D15" s="24">
        <f>D14</f>
        <v>230.3</v>
      </c>
      <c r="E15" s="30">
        <f>E14</f>
        <v>243.775</v>
      </c>
      <c r="F15" s="30">
        <f>F14</f>
        <v>1626.6742338251986</v>
      </c>
      <c r="G15" s="30">
        <f>G14</f>
        <v>110.25000000000001</v>
      </c>
      <c r="H15" s="31">
        <f>H14</f>
        <v>24.5</v>
      </c>
      <c r="I15" s="30">
        <f>I$7/SUM($I$7:$K$7)*$I14+400</f>
        <v>1886.72119398634</v>
      </c>
      <c r="J15" s="30">
        <f>J$7/SUM($I$7:$K$7)*$I14</f>
        <v>2025.2496149789608</v>
      </c>
      <c r="K15" s="30">
        <f>K$7/SUM($I$7:$K$7)*$I14-400</f>
        <v>1115.4291910346997</v>
      </c>
      <c r="L15" s="19">
        <f>L14</f>
        <v>1628.025</v>
      </c>
      <c r="M15" s="19">
        <f>M14</f>
        <v>297.675</v>
      </c>
      <c r="N15" s="30">
        <f>N$7/SUM($N$7:$O$7)*$N14</f>
        <v>91.29172091262976</v>
      </c>
      <c r="O15" s="30">
        <f>O$7/SUM($N$7:$O$7)*$N14</f>
        <v>801.7332790873703</v>
      </c>
      <c r="P15" s="19">
        <f aca="true" t="shared" si="2" ref="P15:AG15">P14</f>
        <v>3480.2250000000004</v>
      </c>
      <c r="Q15" s="19">
        <f t="shared" si="2"/>
        <v>1176</v>
      </c>
      <c r="R15" s="19">
        <f t="shared" si="2"/>
        <v>525.5250000000001</v>
      </c>
      <c r="S15" s="19">
        <f t="shared" si="2"/>
        <v>11293.275000000001</v>
      </c>
      <c r="T15" s="19">
        <f t="shared" si="2"/>
        <v>525.5250000000001</v>
      </c>
      <c r="U15" s="19">
        <f t="shared" si="2"/>
        <v>4135.6</v>
      </c>
      <c r="V15" s="19">
        <f t="shared" si="2"/>
        <v>4639.075000000001</v>
      </c>
      <c r="W15" s="19">
        <f t="shared" si="2"/>
        <v>2309.125</v>
      </c>
      <c r="X15" s="19">
        <f t="shared" si="2"/>
        <v>2768.5</v>
      </c>
      <c r="Y15" s="19">
        <f t="shared" si="2"/>
        <v>396.90000000000003</v>
      </c>
      <c r="Z15" s="19">
        <f t="shared" si="2"/>
        <v>216.82500000000002</v>
      </c>
      <c r="AA15" s="19">
        <f t="shared" si="2"/>
        <v>574.5250000000001</v>
      </c>
      <c r="AB15" s="19">
        <f t="shared" si="2"/>
        <v>1841.1750000000002</v>
      </c>
      <c r="AC15" s="19">
        <f t="shared" si="2"/>
        <v>2191.525</v>
      </c>
      <c r="AD15" s="19">
        <f t="shared" si="2"/>
        <v>735</v>
      </c>
      <c r="AE15" s="19">
        <f t="shared" si="2"/>
        <v>147</v>
      </c>
      <c r="AF15" s="19">
        <f t="shared" si="2"/>
        <v>61.25000000000001</v>
      </c>
      <c r="AG15" s="19">
        <f t="shared" si="2"/>
        <v>1470</v>
      </c>
      <c r="AH15" s="24">
        <f>AH$7/($AH7+$AK7+$AL7+$AP7+$AQ7)*$AP14</f>
        <v>673.7456160969539</v>
      </c>
      <c r="AI15" s="30">
        <f>AI$7/SUM($AI7:$AJ7)*$AI14</f>
        <v>507.56471092329025</v>
      </c>
      <c r="AJ15" s="30">
        <f>AJ$7/SUM($AI7:$AJ7)*$AI14</f>
        <v>162.5102890767098</v>
      </c>
      <c r="AK15" s="24">
        <f>AK$7/($AH7+$AK7+$AL7+$AP7+$AQ7)*$AP14</f>
        <v>1478.3206041492122</v>
      </c>
      <c r="AL15" s="24">
        <f>AL$7/($AH7+$AK7+$AL7+$AP7+$AQ7)*$AP14</f>
        <v>1969.9602771622256</v>
      </c>
      <c r="AM15" s="19">
        <f>AM14</f>
        <v>1962.45</v>
      </c>
      <c r="AN15" s="19">
        <f>AN14</f>
        <v>1194.375</v>
      </c>
      <c r="AO15" s="19">
        <f>AO14</f>
        <v>1043.7</v>
      </c>
      <c r="AP15" s="24">
        <f>AP$7/($AH7+$AK7+$AL7+$AP7+$AQ7)*$AP14</f>
        <v>1652.8519579501133</v>
      </c>
      <c r="AQ15" s="24">
        <f>AQ$7/($AH7+$AK7+$AL7+$AP7+$AQ7)*$AP14</f>
        <v>296.2215446414962</v>
      </c>
      <c r="AS15" s="24"/>
      <c r="AT15" s="32">
        <f t="shared" si="0"/>
        <v>59510.37423382519</v>
      </c>
      <c r="AU15" s="19">
        <f>10460*3.6</f>
        <v>37656</v>
      </c>
      <c r="AV15" s="24">
        <v>-0.0018</v>
      </c>
      <c r="AW15" s="24">
        <v>0</v>
      </c>
      <c r="AX15" s="63">
        <f>AY15-AW15-F15</f>
        <v>95539.6982</v>
      </c>
      <c r="AY15" s="62">
        <f>SUM(AT15:AW15)</f>
        <v>97166.37243382519</v>
      </c>
      <c r="AZ15" s="35">
        <v>102140</v>
      </c>
      <c r="BA15" s="24">
        <f>AX15/3.6</f>
        <v>26538.805055555553</v>
      </c>
      <c r="BB15" s="19" t="s">
        <v>164</v>
      </c>
    </row>
    <row r="16" spans="1:54" ht="12.75">
      <c r="A16" s="19" t="s">
        <v>165</v>
      </c>
      <c r="B16" s="24">
        <v>4</v>
      </c>
      <c r="C16" s="27" t="s">
        <v>80</v>
      </c>
      <c r="D16" s="24">
        <f aca="true" t="shared" si="3" ref="D16:M16">D43/D33</f>
        <v>18.667811568276687</v>
      </c>
      <c r="E16" s="24">
        <f t="shared" si="3"/>
        <v>3.1645569620253164</v>
      </c>
      <c r="F16" s="24">
        <f t="shared" si="3"/>
        <v>3.0379746835443036</v>
      </c>
      <c r="G16" s="24">
        <f t="shared" si="3"/>
        <v>88</v>
      </c>
      <c r="H16" s="24">
        <f t="shared" si="3"/>
        <v>0.5334885813331922</v>
      </c>
      <c r="I16" s="24">
        <f t="shared" si="3"/>
        <v>33.493921992691476</v>
      </c>
      <c r="J16" s="24">
        <f t="shared" si="3"/>
        <v>7.6008650906107835</v>
      </c>
      <c r="K16" s="24">
        <f t="shared" si="3"/>
        <v>2.05947871141446</v>
      </c>
      <c r="L16" s="24">
        <f t="shared" si="3"/>
        <v>5.869514327531211</v>
      </c>
      <c r="M16" s="24">
        <f t="shared" si="3"/>
        <v>2.8052596387296957</v>
      </c>
      <c r="N16" s="24">
        <f aca="true" t="shared" si="4" ref="N16:W16">N43/N33</f>
        <v>0.3891282051282053</v>
      </c>
      <c r="O16" s="24">
        <f t="shared" si="4"/>
        <v>1.264666666666667</v>
      </c>
      <c r="P16" s="24">
        <f t="shared" si="4"/>
        <v>5.836923076923077</v>
      </c>
      <c r="Q16" s="24">
        <f t="shared" si="4"/>
        <v>4.499294871794873</v>
      </c>
      <c r="R16" s="24">
        <f t="shared" si="4"/>
        <v>0.48641025641025654</v>
      </c>
      <c r="S16" s="24">
        <f t="shared" si="4"/>
        <v>19.20824175824176</v>
      </c>
      <c r="T16" s="24">
        <f t="shared" si="4"/>
        <v>1.111794871794872</v>
      </c>
      <c r="U16" s="24">
        <f t="shared" si="4"/>
        <v>3.6480769230769234</v>
      </c>
      <c r="V16" s="24">
        <f t="shared" si="4"/>
        <v>10.64064000897471</v>
      </c>
      <c r="W16" s="24">
        <f t="shared" si="4"/>
        <v>15.187095285536632</v>
      </c>
      <c r="X16" s="24">
        <f aca="true" t="shared" si="5" ref="X16:AG16">X43/X33</f>
        <v>11.760707378340468</v>
      </c>
      <c r="Y16" s="24">
        <f t="shared" si="5"/>
        <v>8.938137607538756</v>
      </c>
      <c r="Z16" s="24">
        <f t="shared" si="5"/>
        <v>2.930312065195786</v>
      </c>
      <c r="AA16" s="24">
        <f t="shared" si="5"/>
        <v>6.811303300577732</v>
      </c>
      <c r="AB16" s="24">
        <f t="shared" si="5"/>
        <v>19.99507056251242</v>
      </c>
      <c r="AC16" s="24">
        <f t="shared" si="5"/>
        <v>35.08700888415687</v>
      </c>
      <c r="AD16" s="24">
        <f t="shared" si="5"/>
        <v>1.8241097158242359</v>
      </c>
      <c r="AE16" s="24">
        <f t="shared" si="5"/>
        <v>1.846911087272039</v>
      </c>
      <c r="AF16" s="24">
        <f t="shared" si="5"/>
        <v>1.7237129795269333</v>
      </c>
      <c r="AG16" s="24">
        <f t="shared" si="5"/>
        <v>1.824109715824236</v>
      </c>
      <c r="AH16" s="24">
        <f aca="true" t="shared" si="6" ref="AH16:AQ16">AH43/AH33</f>
        <v>1.216073143882824</v>
      </c>
      <c r="AI16" s="24">
        <f t="shared" si="6"/>
        <v>3.3612403100775192</v>
      </c>
      <c r="AJ16" s="24">
        <f t="shared" si="6"/>
        <v>1.7237129795269333</v>
      </c>
      <c r="AK16" s="24">
        <f t="shared" si="6"/>
        <v>2.5855694692903994</v>
      </c>
      <c r="AL16" s="24">
        <f t="shared" si="6"/>
        <v>2.7534883720930234</v>
      </c>
      <c r="AM16" s="24">
        <f t="shared" si="6"/>
        <v>2.9062662691313856</v>
      </c>
      <c r="AN16" s="24">
        <f t="shared" si="6"/>
        <v>43.16279069767442</v>
      </c>
      <c r="AO16" s="24">
        <f t="shared" si="6"/>
        <v>4.223096799840986</v>
      </c>
      <c r="AP16" s="24">
        <f t="shared" si="6"/>
        <v>9.814545911349633</v>
      </c>
      <c r="AQ16" s="24">
        <f t="shared" si="6"/>
        <v>0.8930232558139535</v>
      </c>
      <c r="AR16" s="24"/>
      <c r="AS16" s="24"/>
      <c r="AT16" s="32">
        <f t="shared" si="0"/>
        <v>392.88633398615565</v>
      </c>
      <c r="AU16" s="24">
        <f>3061000*0.275*365*10^-6*2.3</f>
        <v>706.6701125</v>
      </c>
      <c r="AV16" s="24"/>
      <c r="AW16" s="24">
        <v>0</v>
      </c>
      <c r="AX16" s="63">
        <f>AY16-AW16-G16</f>
        <v>1011.5564464861557</v>
      </c>
      <c r="AY16" s="62">
        <f>AT16+AU16+AW16</f>
        <v>1099.5564464861557</v>
      </c>
      <c r="AZ16" s="24">
        <v>0</v>
      </c>
      <c r="BA16" s="24">
        <f>6.75*0.455*365</f>
        <v>1121.00625</v>
      </c>
      <c r="BB16" t="s">
        <v>166</v>
      </c>
    </row>
    <row r="17" spans="1:55" s="71" customFormat="1" ht="12.75">
      <c r="A17" s="71" t="s">
        <v>162</v>
      </c>
      <c r="B17" s="67">
        <v>5</v>
      </c>
      <c r="C17" s="67" t="s">
        <v>103</v>
      </c>
      <c r="D17" s="72">
        <f aca="true" t="shared" si="7" ref="D17:M17">SUM(D18:D20)</f>
        <v>7163.1808256</v>
      </c>
      <c r="E17" s="72">
        <f t="shared" si="7"/>
        <v>523.4449688638011</v>
      </c>
      <c r="F17" s="72">
        <f t="shared" si="7"/>
        <v>74.0442469509087</v>
      </c>
      <c r="G17" s="72">
        <f t="shared" si="7"/>
        <v>24.795939820609007</v>
      </c>
      <c r="H17" s="72">
        <f>4657*41.868</f>
        <v>194979.276</v>
      </c>
      <c r="I17" s="72">
        <f t="shared" si="7"/>
        <v>6142.107117155634</v>
      </c>
      <c r="J17" s="72">
        <f t="shared" si="7"/>
        <v>530.2948140843415</v>
      </c>
      <c r="K17" s="72">
        <f t="shared" si="7"/>
        <v>138.85977688912814</v>
      </c>
      <c r="L17" s="72">
        <f t="shared" si="7"/>
        <v>3162.157304170394</v>
      </c>
      <c r="M17" s="72">
        <f t="shared" si="7"/>
        <v>456.88647466801456</v>
      </c>
      <c r="N17" s="72">
        <f aca="true" t="shared" si="8" ref="N17:W17">SUM(N18:N20)</f>
        <v>716.1922482753467</v>
      </c>
      <c r="O17" s="72">
        <f t="shared" si="8"/>
        <v>2175.450914475056</v>
      </c>
      <c r="P17" s="72">
        <f t="shared" si="8"/>
        <v>7793.182980796988</v>
      </c>
      <c r="Q17" s="72">
        <f t="shared" si="8"/>
        <v>1989.2339887798842</v>
      </c>
      <c r="R17" s="72">
        <f t="shared" si="8"/>
        <v>268.3577364329085</v>
      </c>
      <c r="S17" s="72">
        <f t="shared" si="8"/>
        <v>7174.75487671859</v>
      </c>
      <c r="T17" s="72">
        <f t="shared" si="8"/>
        <v>867.4881945823104</v>
      </c>
      <c r="U17" s="72">
        <f t="shared" si="8"/>
        <v>18150.171788002153</v>
      </c>
      <c r="V17" s="72">
        <f t="shared" si="8"/>
        <v>6510.198175490077</v>
      </c>
      <c r="W17" s="72">
        <f t="shared" si="8"/>
        <v>10899.732561652996</v>
      </c>
      <c r="X17" s="72">
        <f aca="true" t="shared" si="9" ref="X17:AF17">SUM(X18:X20)</f>
        <v>5590.9578765808765</v>
      </c>
      <c r="Y17" s="72">
        <f t="shared" si="9"/>
        <v>9205.448062200001</v>
      </c>
      <c r="Z17" s="72">
        <f t="shared" si="9"/>
        <v>6808.223955809986</v>
      </c>
      <c r="AA17" s="72">
        <f t="shared" si="9"/>
        <v>5900.248321500001</v>
      </c>
      <c r="AB17" s="72">
        <f t="shared" si="9"/>
        <v>18428.497788900004</v>
      </c>
      <c r="AC17" s="72">
        <f t="shared" si="9"/>
        <v>10701.305975700001</v>
      </c>
      <c r="AD17" s="72">
        <f t="shared" si="9"/>
        <v>1113.6310608</v>
      </c>
      <c r="AE17" s="72">
        <f t="shared" si="9"/>
        <v>1305.7434252</v>
      </c>
      <c r="AF17" s="72">
        <f t="shared" si="9"/>
        <v>18980.89663870331</v>
      </c>
      <c r="AG17" s="72">
        <f>SUM(AG18:AG21)</f>
        <v>46928.46417</v>
      </c>
      <c r="AH17" s="72">
        <f aca="true" t="shared" si="10" ref="AH17:AQ17">SUM(AH18:AH20)</f>
        <v>2126.0685138</v>
      </c>
      <c r="AI17" s="72">
        <f t="shared" si="10"/>
        <v>3662.6065383000005</v>
      </c>
      <c r="AJ17" s="72">
        <f t="shared" si="10"/>
        <v>1276.7022891000001</v>
      </c>
      <c r="AK17" s="72">
        <f t="shared" si="10"/>
        <v>811.4556408000001</v>
      </c>
      <c r="AL17" s="72">
        <f t="shared" si="10"/>
        <v>10881.4577358</v>
      </c>
      <c r="AM17" s="72">
        <f t="shared" si="10"/>
        <v>3534.7148151</v>
      </c>
      <c r="AN17" s="72">
        <f t="shared" si="10"/>
        <v>3282.0052758</v>
      </c>
      <c r="AO17" s="72">
        <f t="shared" si="10"/>
        <v>3807.7471653000002</v>
      </c>
      <c r="AP17" s="72">
        <f t="shared" si="10"/>
        <v>15107.0857317</v>
      </c>
      <c r="AQ17" s="72">
        <f t="shared" si="10"/>
        <v>317.82459</v>
      </c>
      <c r="AR17" s="72"/>
      <c r="AS17" s="72"/>
      <c r="AT17" s="73">
        <f t="shared" si="0"/>
        <v>439510.8965045033</v>
      </c>
      <c r="AU17" s="72">
        <f>SUM(AU18:AU20)</f>
        <v>283591.0420067435</v>
      </c>
      <c r="AV17" s="72">
        <f>254*41.868</f>
        <v>10634.472</v>
      </c>
      <c r="AW17" s="72">
        <v>18870</v>
      </c>
      <c r="AX17" s="73">
        <f>AY17-H17-AW17</f>
        <v>538757.1345112468</v>
      </c>
      <c r="AY17" s="72">
        <f>SUM(AT17:AW17)</f>
        <v>752606.4105112468</v>
      </c>
      <c r="AZ17" s="72">
        <f>(4657+7356)*41.868</f>
        <v>502960.28400000004</v>
      </c>
      <c r="BA17" s="72" t="s">
        <v>191</v>
      </c>
      <c r="BB17" s="72"/>
      <c r="BC17" s="72"/>
    </row>
    <row r="18" spans="1:55" s="71" customFormat="1" ht="12.75">
      <c r="A18" s="71" t="s">
        <v>160</v>
      </c>
      <c r="B18" s="67"/>
      <c r="C18" s="67" t="s">
        <v>168</v>
      </c>
      <c r="D18" s="74">
        <f>EnergNa90!D18*$BB18</f>
        <v>3594.8</v>
      </c>
      <c r="E18" s="74">
        <f>EnergNa90!E18*$BB18</f>
        <v>124.0206</v>
      </c>
      <c r="F18" s="74">
        <f>EnergNa90!F18*$BB18</f>
        <v>17.974</v>
      </c>
      <c r="G18" s="74">
        <f>EnergNa90!G18*$BB18</f>
        <v>6.290900000000001</v>
      </c>
      <c r="H18" s="72">
        <f>H17-H19-H20</f>
        <v>194979.276</v>
      </c>
      <c r="I18" s="74">
        <f>EnergNa90!I18*$BB18</f>
        <v>2745.5285000000003</v>
      </c>
      <c r="J18" s="74">
        <f>EnergNa90!J18*$BB18</f>
        <v>205.8023</v>
      </c>
      <c r="K18" s="74">
        <f>EnergNa90!K18*$BB18</f>
        <v>68.30120000000001</v>
      </c>
      <c r="L18" s="74">
        <f>EnergNa90!L18*$BB18</f>
        <v>1476.5641</v>
      </c>
      <c r="M18" s="74">
        <f>EnergNa90!M18*$BB18</f>
        <v>108.74270000000001</v>
      </c>
      <c r="N18" s="74">
        <f>EnergNa90!N18*$BB18</f>
        <v>114.1349</v>
      </c>
      <c r="O18" s="74">
        <f>EnergNa90!O18*$BB18</f>
        <v>666.8354</v>
      </c>
      <c r="P18" s="74">
        <f>EnergNa90!P18*$BB18</f>
        <v>7106.0209</v>
      </c>
      <c r="Q18" s="74">
        <f>EnergNa90!Q18*$BB18</f>
        <v>752.2119</v>
      </c>
      <c r="R18" s="74">
        <f>EnergNa90!R18*$BB18</f>
        <v>118.6904103</v>
      </c>
      <c r="S18" s="74">
        <f>EnergNa90!S18*$BB18</f>
        <v>5374.9800093</v>
      </c>
      <c r="T18" s="74">
        <f>EnergNa90!T18*$BB18</f>
        <v>326.62173060000003</v>
      </c>
      <c r="U18" s="74">
        <f>EnergNa90!U18*$BB18</f>
        <v>17376.0975861</v>
      </c>
      <c r="V18" s="74">
        <f>EnergNa90!V18*$BB18</f>
        <v>3254.6159877</v>
      </c>
      <c r="W18" s="74">
        <f>EnergNa90!W18*$BB18</f>
        <v>5722.1271492000005</v>
      </c>
      <c r="X18" s="74">
        <f>EnergNa90!X18*$BB18</f>
        <v>1197.6130122</v>
      </c>
      <c r="Y18" s="74">
        <f>EnergNa90!Y18*$BB18</f>
        <v>2493.3910254</v>
      </c>
      <c r="Z18" s="74">
        <f>EnergNa90!Z18*$BB18</f>
        <v>881.7001908</v>
      </c>
      <c r="AA18" s="74">
        <f>EnergNa90!AA18*$BB18</f>
        <v>2681.6893455000004</v>
      </c>
      <c r="AB18" s="74">
        <f>EnergNa90!AB18*$BB18</f>
        <v>10297.508604900002</v>
      </c>
      <c r="AC18" s="74">
        <f>EnergNa90!AC18*$BB18</f>
        <v>9929.836055700001</v>
      </c>
      <c r="AD18" s="74">
        <f>EnergNa90!AD18*$BB18</f>
        <v>613.9774608</v>
      </c>
      <c r="AE18" s="74">
        <f>EnergNa90!AE18*$BB18</f>
        <v>89.24091</v>
      </c>
      <c r="AF18" s="74">
        <f>EnergNa90!AF18*$BB18</f>
        <v>858.4975542</v>
      </c>
      <c r="AG18" s="74">
        <f>EnergNa90!AG18*$BB18</f>
        <v>267.72273</v>
      </c>
      <c r="AH18" s="74">
        <f>EnergNa90!AH18*$BB18</f>
        <v>819.2315538</v>
      </c>
      <c r="AI18" s="74">
        <f>EnergNa90!AI18*$BB18</f>
        <v>1260.9740583</v>
      </c>
      <c r="AJ18" s="74">
        <f>EnergNa90!AJ18*$BB18</f>
        <v>357.8560491</v>
      </c>
      <c r="AK18" s="74">
        <f>EnergNa90!AK18*$BB18</f>
        <v>435.49564080000005</v>
      </c>
      <c r="AL18" s="74">
        <f>EnergNa90!AL18*$BB18</f>
        <v>5834.570695800001</v>
      </c>
      <c r="AM18" s="74">
        <f>EnergNa90!AM18*$BB18</f>
        <v>2731.6642551</v>
      </c>
      <c r="AN18" s="74">
        <f>EnergNa90!AN18*$BB18</f>
        <v>2086.4524758000002</v>
      </c>
      <c r="AO18" s="74">
        <f>EnergNa90!AO18*$BB18</f>
        <v>1055.7199653</v>
      </c>
      <c r="AP18" s="74">
        <f>EnergNa90!AP18*$BB18</f>
        <v>7395.394211700001</v>
      </c>
      <c r="AQ18" s="74">
        <f>EnergNa90!AQ18*$BB18</f>
        <v>89.24091</v>
      </c>
      <c r="AR18" s="72"/>
      <c r="AS18" s="72"/>
      <c r="AT18" s="73">
        <f t="shared" si="0"/>
        <v>295517.4129784</v>
      </c>
      <c r="AU18" s="72">
        <v>135440</v>
      </c>
      <c r="AV18" s="72"/>
      <c r="AW18" s="72"/>
      <c r="AX18" s="73">
        <f>SUM(AT18:AV18)-H18</f>
        <v>235978.1369784</v>
      </c>
      <c r="AY18" s="72"/>
      <c r="AZ18" s="72"/>
      <c r="BA18" s="72" t="s">
        <v>192</v>
      </c>
      <c r="BB18" s="75">
        <v>0.8987</v>
      </c>
      <c r="BC18" s="72"/>
    </row>
    <row r="19" spans="1:55" s="71" customFormat="1" ht="12.75">
      <c r="A19" s="71" t="s">
        <v>160</v>
      </c>
      <c r="B19" s="67"/>
      <c r="C19" s="67" t="s">
        <v>170</v>
      </c>
      <c r="D19" s="74">
        <f>EnergNa90!D19*$BB19</f>
        <v>1227.13344</v>
      </c>
      <c r="E19" s="74">
        <f>EnergNa90!E19*$BB19</f>
        <v>394.00608000000005</v>
      </c>
      <c r="F19" s="74">
        <f>EnergNa90!F19*$BB19</f>
        <v>55.64208</v>
      </c>
      <c r="G19" s="74">
        <f>EnergNa90!G19*$BB19</f>
        <v>18.04608</v>
      </c>
      <c r="H19" s="74">
        <f>EnergNa90!H19*$BB19</f>
        <v>0</v>
      </c>
      <c r="I19" s="74">
        <f>EnergNa90!I19*$BB19</f>
        <v>2085.8260800000003</v>
      </c>
      <c r="J19" s="74">
        <f>EnergNa90!J19*$BB19</f>
        <v>315.8064</v>
      </c>
      <c r="K19" s="74">
        <f>EnergNa90!K19*$BB19</f>
        <v>66.16896</v>
      </c>
      <c r="L19" s="74">
        <f>EnergNa90!L19*$BB19</f>
        <v>1628.65872</v>
      </c>
      <c r="M19" s="74">
        <f>EnergNa90!M19*$BB19</f>
        <v>344.37935999999996</v>
      </c>
      <c r="N19" s="74">
        <f>EnergNa90!N19*$BB19</f>
        <v>181.96464</v>
      </c>
      <c r="O19" s="74">
        <f>EnergNa90!O19*$BB19</f>
        <v>1057.1995200000001</v>
      </c>
      <c r="P19" s="74">
        <f>EnergNa90!P19*$BB19</f>
        <v>639.132</v>
      </c>
      <c r="Q19" s="74">
        <f>EnergNa90!Q19*$BB19</f>
        <v>1192.54512</v>
      </c>
      <c r="R19" s="74">
        <f>EnergNa90!R19*$BB19</f>
        <v>118.80336</v>
      </c>
      <c r="S19" s="74">
        <f>EnergNa90!S19*$BB19</f>
        <v>1403.0827199999999</v>
      </c>
      <c r="T19" s="74">
        <f>EnergNa90!T19*$BB19</f>
        <v>458.67120000000006</v>
      </c>
      <c r="U19" s="74">
        <f>EnergNa90!U19*$BB19</f>
        <v>667.7049599999999</v>
      </c>
      <c r="V19" s="74">
        <f>EnergNa90!V19*$BB19</f>
        <v>1986.5726399999999</v>
      </c>
      <c r="W19" s="74">
        <f>EnergNa90!W19*$BB19</f>
        <v>3952.0915200000004</v>
      </c>
      <c r="X19" s="74">
        <f>EnergNa90!X19*$BB19</f>
        <v>3821.2574400000003</v>
      </c>
      <c r="Y19" s="74">
        <f>EnergNa90!Y19*$BB19</f>
        <v>0</v>
      </c>
      <c r="Z19" s="74">
        <f>EnergNa90!Z19*$BB19</f>
        <v>2813.68464</v>
      </c>
      <c r="AA19" s="74">
        <f>EnergNa90!AA19*$BB19</f>
        <v>0</v>
      </c>
      <c r="AB19" s="74">
        <f>EnergNa90!AB19*$BB19</f>
        <v>5985.283200000001</v>
      </c>
      <c r="AC19" s="74">
        <f>EnergNa90!AC19*$BB19</f>
        <v>771.46992</v>
      </c>
      <c r="AD19" s="74">
        <f>EnergNa90!AD19*$BB19</f>
        <v>7.5192</v>
      </c>
      <c r="AE19" s="74">
        <f>EnergNa90!AE19*$BB19</f>
        <v>15.0384</v>
      </c>
      <c r="AF19" s="74">
        <f>EnergNa90!AF19*$BB19</f>
        <v>180.4608</v>
      </c>
      <c r="AG19" s="74">
        <f>EnergNa90!AG19*$BB19</f>
        <v>61.65744000000001</v>
      </c>
      <c r="AH19" s="74">
        <f>EnergNa90!AH19*$BB19</f>
        <v>1306.8369599999999</v>
      </c>
      <c r="AI19" s="74">
        <f>EnergNa90!AI19*$BB19</f>
        <v>2401.63248</v>
      </c>
      <c r="AJ19" s="74">
        <f>EnergNa90!AJ19*$BB19</f>
        <v>918.8462400000001</v>
      </c>
      <c r="AK19" s="74">
        <f>EnergNa90!AK19*$BB19</f>
        <v>375.96</v>
      </c>
      <c r="AL19" s="74">
        <f>EnergNa90!AL19*$BB19</f>
        <v>5046.88704</v>
      </c>
      <c r="AM19" s="74">
        <f>EnergNa90!AM19*$BB19</f>
        <v>803.05056</v>
      </c>
      <c r="AN19" s="74">
        <f>EnergNa90!AN19*$BB19</f>
        <v>1195.5528000000002</v>
      </c>
      <c r="AO19" s="74">
        <f>EnergNa90!AO19*$BB19</f>
        <v>2752.0272</v>
      </c>
      <c r="AP19" s="74">
        <f>EnergNa90!AP19*$BB19</f>
        <v>7711.69152</v>
      </c>
      <c r="AQ19" s="74">
        <f>EnergNa90!AQ19*$BB19</f>
        <v>228.58368</v>
      </c>
      <c r="AR19" s="72"/>
      <c r="AS19" s="72"/>
      <c r="AT19" s="73">
        <f t="shared" si="0"/>
        <v>54190.8744</v>
      </c>
      <c r="AU19" s="72">
        <f>EnergNa90!AU19*245800/244210</f>
        <v>143572.3456633413</v>
      </c>
      <c r="AV19" s="72"/>
      <c r="AW19" s="72"/>
      <c r="AX19" s="73">
        <f>SUM(AT19:AV19)-H19</f>
        <v>197763.2200633413</v>
      </c>
      <c r="AY19" s="72">
        <f>11516*41.868</f>
        <v>482151.88800000004</v>
      </c>
      <c r="AZ19" s="72"/>
      <c r="BA19" s="72" t="s">
        <v>192</v>
      </c>
      <c r="BB19" s="75">
        <v>1.2</v>
      </c>
      <c r="BC19" s="72"/>
    </row>
    <row r="20" spans="1:55" s="71" customFormat="1" ht="12.75">
      <c r="A20" s="71" t="s">
        <v>160</v>
      </c>
      <c r="B20" s="67"/>
      <c r="C20" s="67" t="s">
        <v>172</v>
      </c>
      <c r="D20" s="74">
        <f>EnergNa90!D20*$BB20</f>
        <v>2341.2473856</v>
      </c>
      <c r="E20" s="74">
        <f>EnergNa90!E20*$BB20</f>
        <v>5.418288863801124</v>
      </c>
      <c r="F20" s="74">
        <f>EnergNa90!F20*$BB20</f>
        <v>0.4281669509086981</v>
      </c>
      <c r="G20" s="74">
        <f>EnergNa90!G20*$BB20</f>
        <v>0.45895982060900714</v>
      </c>
      <c r="H20" s="74">
        <f>EnergNa90!H20*$BB20</f>
        <v>0</v>
      </c>
      <c r="I20" s="74">
        <f>EnergNa90!I20*$BB20</f>
        <v>1310.7525371556326</v>
      </c>
      <c r="J20" s="74">
        <f>EnergNa90!J20*$BB20</f>
        <v>8.686114084341526</v>
      </c>
      <c r="K20" s="74">
        <f>EnergNa90!K20*$BB20</f>
        <v>4.389616889128117</v>
      </c>
      <c r="L20" s="74">
        <f>EnergNa90!L20*$BB20</f>
        <v>56.934484170394235</v>
      </c>
      <c r="M20" s="74">
        <f>EnergNa90!M20*$BB20</f>
        <v>3.764414668014559</v>
      </c>
      <c r="N20" s="74">
        <f>EnergNa90!N20*$BB20</f>
        <v>420.09270827534675</v>
      </c>
      <c r="O20" s="74">
        <f>EnergNa90!O20*$BB20</f>
        <v>451.4159944750558</v>
      </c>
      <c r="P20" s="74">
        <f>EnergNa90!P20*$BB20</f>
        <v>48.03008079698753</v>
      </c>
      <c r="Q20" s="74">
        <f>EnergNa90!Q20*$BB20</f>
        <v>44.47696877988405</v>
      </c>
      <c r="R20" s="74">
        <f>EnergNa90!R20*$BB20</f>
        <v>30.86396613290848</v>
      </c>
      <c r="S20" s="74">
        <f>EnergNa90!S20*$BB20</f>
        <v>396.6921474185905</v>
      </c>
      <c r="T20" s="74">
        <f>EnergNa90!T20*$BB20</f>
        <v>82.19526398231022</v>
      </c>
      <c r="U20" s="74">
        <f>EnergNa90!U20*$BB20</f>
        <v>106.36924190215518</v>
      </c>
      <c r="V20" s="74">
        <f>EnergNa90!V20*$BB20</f>
        <v>1269.0095477900777</v>
      </c>
      <c r="W20" s="74">
        <f>EnergNa90!W20*$BB20</f>
        <v>1225.5138924529945</v>
      </c>
      <c r="X20" s="74">
        <f>EnergNa90!X20*$BB20</f>
        <v>572.0874243808761</v>
      </c>
      <c r="Y20" s="74">
        <f>EnergNa90!Y20*$BB20</f>
        <v>6712.057036800001</v>
      </c>
      <c r="Z20" s="74">
        <f>EnergNa90!Z20*$BB20</f>
        <v>3112.8391250099867</v>
      </c>
      <c r="AA20" s="74">
        <f>EnergNa90!AA20*$BB20</f>
        <v>3218.5589760000003</v>
      </c>
      <c r="AB20" s="74">
        <f>EnergNa90!AB20*$BB20</f>
        <v>2145.705984</v>
      </c>
      <c r="AC20" s="74">
        <f>EnergNa90!AC20*$BB20</f>
        <v>0</v>
      </c>
      <c r="AD20" s="74">
        <f>EnergNa90!AD20*$BB20</f>
        <v>492.1344</v>
      </c>
      <c r="AE20" s="74">
        <f>EnergNa90!AE20*$BB20</f>
        <v>1201.4641152000002</v>
      </c>
      <c r="AF20" s="74">
        <f>EnergNa90!AF20*$BB20</f>
        <v>17941.93828450331</v>
      </c>
      <c r="AG20" s="74">
        <f>EnergNa90!AG20*$BB20</f>
        <v>0</v>
      </c>
      <c r="AH20" s="74">
        <f>EnergNa90!AH20*$BB20</f>
        <v>0</v>
      </c>
      <c r="AI20" s="74">
        <f>EnergNa90!AI20*$BB20</f>
        <v>0</v>
      </c>
      <c r="AJ20" s="74">
        <f>EnergNa90!AJ20*$BB20</f>
        <v>0</v>
      </c>
      <c r="AK20" s="74">
        <f>EnergNa90!AK20*$BB20</f>
        <v>0</v>
      </c>
      <c r="AL20" s="74">
        <f>EnergNa90!AL20*$BB20</f>
        <v>0</v>
      </c>
      <c r="AM20" s="74">
        <f>EnergNa90!AM20*$BB20</f>
        <v>0</v>
      </c>
      <c r="AN20" s="74">
        <f>EnergNa90!AN20*$BB20</f>
        <v>0</v>
      </c>
      <c r="AO20" s="74">
        <f>EnergNa90!AO20*$BB20</f>
        <v>0</v>
      </c>
      <c r="AP20" s="74">
        <f>EnergNa90!AP20*$BB20</f>
        <v>0</v>
      </c>
      <c r="AQ20" s="74">
        <f>EnergNa90!AQ20*$BB20</f>
        <v>0</v>
      </c>
      <c r="AR20" s="72"/>
      <c r="AS20" s="72"/>
      <c r="AT20" s="73">
        <f t="shared" si="0"/>
        <v>43203.52512610331</v>
      </c>
      <c r="AU20" s="72">
        <f>AU47*10^6/AU37</f>
        <v>4578.6963434022255</v>
      </c>
      <c r="AV20" s="72"/>
      <c r="AW20" s="72"/>
      <c r="AX20" s="73">
        <f>SUM(AT20:AV20)-H20</f>
        <v>47782.22146950554</v>
      </c>
      <c r="AY20" s="72"/>
      <c r="AZ20" s="72"/>
      <c r="BA20" s="72" t="s">
        <v>192</v>
      </c>
      <c r="BB20" s="75">
        <v>1.024</v>
      </c>
      <c r="BC20" s="72"/>
    </row>
    <row r="21" spans="1:55" s="71" customFormat="1" ht="12.75">
      <c r="A21" s="71" t="s">
        <v>160</v>
      </c>
      <c r="B21" s="67"/>
      <c r="C21" s="67" t="s">
        <v>174</v>
      </c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81">
        <f>1113*41.868</f>
        <v>46599.084</v>
      </c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3">
        <f t="shared" si="0"/>
        <v>46599.084</v>
      </c>
      <c r="AU21" s="72"/>
      <c r="AV21" s="72"/>
      <c r="AW21" s="72"/>
      <c r="AX21" s="73">
        <f>SUM(AT21:AV21)-H21</f>
        <v>46599.084</v>
      </c>
      <c r="AY21" s="72"/>
      <c r="AZ21" s="72"/>
      <c r="BA21" s="72" t="s">
        <v>192</v>
      </c>
      <c r="BB21" s="75">
        <v>1</v>
      </c>
      <c r="BC21" s="72"/>
    </row>
    <row r="22" spans="9:55" s="71" customFormat="1" ht="12.75"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3"/>
      <c r="AU22" s="72">
        <f>AT19-H19</f>
        <v>54190.8744</v>
      </c>
      <c r="AV22" s="75"/>
      <c r="AW22" s="72"/>
      <c r="AX22" s="73"/>
      <c r="AY22" s="72"/>
      <c r="AZ22" s="72"/>
      <c r="BA22" s="72"/>
      <c r="BB22" s="72"/>
      <c r="BC22" s="72"/>
    </row>
    <row r="23" spans="1:55" s="71" customFormat="1" ht="12.75">
      <c r="A23" s="71" t="s">
        <v>162</v>
      </c>
      <c r="B23" s="67">
        <v>5</v>
      </c>
      <c r="C23" s="67" t="s">
        <v>103</v>
      </c>
      <c r="D23" s="72">
        <f aca="true" t="shared" si="11" ref="D23:M23">D18+D19+D26+D21</f>
        <v>7131.143040000001</v>
      </c>
      <c r="E23" s="72">
        <f t="shared" si="11"/>
        <v>518.02668</v>
      </c>
      <c r="F23" s="72">
        <f t="shared" si="11"/>
        <v>73.61608</v>
      </c>
      <c r="G23" s="72">
        <f t="shared" si="11"/>
        <v>24.33698</v>
      </c>
      <c r="H23" s="72">
        <f t="shared" si="11"/>
        <v>208798.730496</v>
      </c>
      <c r="I23" s="72">
        <f t="shared" si="11"/>
        <v>4831.354580000001</v>
      </c>
      <c r="J23" s="72">
        <f t="shared" si="11"/>
        <v>521.6087</v>
      </c>
      <c r="K23" s="72">
        <f t="shared" si="11"/>
        <v>134.47016000000002</v>
      </c>
      <c r="L23" s="72">
        <f t="shared" si="11"/>
        <v>3116.87242</v>
      </c>
      <c r="M23" s="72">
        <f t="shared" si="11"/>
        <v>453.12206</v>
      </c>
      <c r="N23" s="72">
        <f aca="true" t="shared" si="12" ref="N23:W23">N18+N19+N26+N21</f>
        <v>296.09954</v>
      </c>
      <c r="O23" s="72">
        <f t="shared" si="12"/>
        <v>1724.03492</v>
      </c>
      <c r="P23" s="72">
        <f t="shared" si="12"/>
        <v>7789.1625</v>
      </c>
      <c r="Q23" s="72">
        <f t="shared" si="12"/>
        <v>1944.75702</v>
      </c>
      <c r="R23" s="72">
        <f t="shared" si="12"/>
        <v>237.4937703</v>
      </c>
      <c r="S23" s="72">
        <f t="shared" si="12"/>
        <v>6856.3739293</v>
      </c>
      <c r="T23" s="72">
        <f t="shared" si="12"/>
        <v>785.2929306000001</v>
      </c>
      <c r="U23" s="72">
        <f t="shared" si="12"/>
        <v>18076.1625461</v>
      </c>
      <c r="V23" s="72">
        <f t="shared" si="12"/>
        <v>5391.986227699999</v>
      </c>
      <c r="W23" s="72">
        <f t="shared" si="12"/>
        <v>9674.218669200001</v>
      </c>
      <c r="X23" s="72">
        <f aca="true" t="shared" si="13" ref="X23:AG23">X18+X19+X26+X21</f>
        <v>5018.870452200001</v>
      </c>
      <c r="Y23" s="72">
        <f t="shared" si="13"/>
        <v>9113.5998254</v>
      </c>
      <c r="Z23" s="72">
        <f t="shared" si="13"/>
        <v>6765.7016308</v>
      </c>
      <c r="AA23" s="72">
        <f t="shared" si="13"/>
        <v>4299.689345500001</v>
      </c>
      <c r="AB23" s="72">
        <f t="shared" si="13"/>
        <v>16568.207004900003</v>
      </c>
      <c r="AC23" s="72">
        <f t="shared" si="13"/>
        <v>10701.305975700001</v>
      </c>
      <c r="AD23" s="72">
        <f t="shared" si="13"/>
        <v>1106.8966608</v>
      </c>
      <c r="AE23" s="72">
        <f t="shared" si="13"/>
        <v>1289.30251</v>
      </c>
      <c r="AF23" s="72">
        <f t="shared" si="13"/>
        <v>28359.8591542</v>
      </c>
      <c r="AG23" s="72">
        <f t="shared" si="13"/>
        <v>46928.46417</v>
      </c>
      <c r="AH23" s="72">
        <f aca="true" t="shared" si="14" ref="AH23:AQ23">AH18+AH19+AH26+AH21</f>
        <v>2126.0685138</v>
      </c>
      <c r="AI23" s="72">
        <f t="shared" si="14"/>
        <v>3662.6065383000005</v>
      </c>
      <c r="AJ23" s="72">
        <f t="shared" si="14"/>
        <v>1276.7022891000001</v>
      </c>
      <c r="AK23" s="72">
        <f t="shared" si="14"/>
        <v>811.4556408000001</v>
      </c>
      <c r="AL23" s="72">
        <f t="shared" si="14"/>
        <v>10881.4577358</v>
      </c>
      <c r="AM23" s="72">
        <f t="shared" si="14"/>
        <v>3534.7148151</v>
      </c>
      <c r="AN23" s="72">
        <f t="shared" si="14"/>
        <v>3282.0052758</v>
      </c>
      <c r="AO23" s="72">
        <f t="shared" si="14"/>
        <v>3807.7471653000002</v>
      </c>
      <c r="AP23" s="72">
        <f t="shared" si="14"/>
        <v>15107.0857317</v>
      </c>
      <c r="AQ23" s="72">
        <f t="shared" si="14"/>
        <v>317.82459</v>
      </c>
      <c r="AR23" s="72"/>
      <c r="AS23" s="72"/>
      <c r="AT23" s="73">
        <f>SUM(D23:AS23)</f>
        <v>453338.4282744</v>
      </c>
      <c r="AU23" s="72"/>
      <c r="AV23" s="75"/>
      <c r="AW23" s="72"/>
      <c r="AX23" s="73"/>
      <c r="AY23" s="72"/>
      <c r="AZ23" s="72"/>
      <c r="BA23" s="72"/>
      <c r="BB23" s="72"/>
      <c r="BC23" s="72"/>
    </row>
    <row r="24" spans="1:55" s="71" customFormat="1" ht="12.75">
      <c r="A24" s="71" t="s">
        <v>160</v>
      </c>
      <c r="B24" s="67"/>
      <c r="C24" s="67" t="s">
        <v>168</v>
      </c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3"/>
      <c r="AU24" s="72"/>
      <c r="AV24" s="75"/>
      <c r="AW24" s="72"/>
      <c r="AX24" s="73"/>
      <c r="AY24" s="72"/>
      <c r="AZ24" s="72"/>
      <c r="BA24" s="72"/>
      <c r="BB24" s="72"/>
      <c r="BC24" s="72"/>
    </row>
    <row r="25" spans="1:55" s="71" customFormat="1" ht="12.75">
      <c r="A25" s="71" t="s">
        <v>160</v>
      </c>
      <c r="B25" s="67"/>
      <c r="C25" s="67" t="s">
        <v>170</v>
      </c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3"/>
      <c r="AU25" s="72"/>
      <c r="AV25" s="75"/>
      <c r="AW25" s="72"/>
      <c r="AX25" s="73"/>
      <c r="AY25" s="72"/>
      <c r="AZ25" s="72"/>
      <c r="BA25" s="72"/>
      <c r="BB25" s="72"/>
      <c r="BC25" s="72"/>
    </row>
    <row r="26" spans="1:55" s="71" customFormat="1" ht="12.75">
      <c r="A26" s="71" t="s">
        <v>160</v>
      </c>
      <c r="B26" s="67"/>
      <c r="C26" s="67" t="s">
        <v>175</v>
      </c>
      <c r="D26" s="72">
        <f>3568*BB26</f>
        <v>2309.2096</v>
      </c>
      <c r="E26" s="72">
        <v>0</v>
      </c>
      <c r="F26" s="72">
        <v>0</v>
      </c>
      <c r="G26" s="72">
        <v>0</v>
      </c>
      <c r="H26" s="72">
        <f>510*41.868*BB26</f>
        <v>13819.454496</v>
      </c>
      <c r="I26" s="72">
        <v>0</v>
      </c>
      <c r="J26" s="72">
        <v>0</v>
      </c>
      <c r="K26" s="72">
        <v>0</v>
      </c>
      <c r="L26" s="72">
        <f>18*BB26</f>
        <v>11.6496</v>
      </c>
      <c r="M26" s="72">
        <v>0</v>
      </c>
      <c r="N26" s="72">
        <v>0</v>
      </c>
      <c r="O26" s="72">
        <v>0</v>
      </c>
      <c r="P26" s="72">
        <f>68*BB26</f>
        <v>44.0096</v>
      </c>
      <c r="Q26" s="72">
        <v>0</v>
      </c>
      <c r="R26" s="72">
        <v>0</v>
      </c>
      <c r="S26" s="72">
        <f>121*BB26</f>
        <v>78.3112</v>
      </c>
      <c r="T26" s="72">
        <v>0</v>
      </c>
      <c r="U26" s="72">
        <f>50*BB26</f>
        <v>32.36</v>
      </c>
      <c r="V26" s="72">
        <f>(87+146)*BB26</f>
        <v>150.7976</v>
      </c>
      <c r="W26" s="72">
        <v>0</v>
      </c>
      <c r="X26" s="72">
        <v>0</v>
      </c>
      <c r="Y26" s="72">
        <f>10229*BB26</f>
        <v>6620.2088</v>
      </c>
      <c r="Z26" s="72">
        <f>4744*BB26</f>
        <v>3070.3168</v>
      </c>
      <c r="AA26" s="72">
        <f>2500*BB26</f>
        <v>1618</v>
      </c>
      <c r="AB26" s="72">
        <f>441*BB26</f>
        <v>285.4152</v>
      </c>
      <c r="AC26" s="72">
        <v>0</v>
      </c>
      <c r="AD26" s="72">
        <f>750*BB26</f>
        <v>485.4</v>
      </c>
      <c r="AE26" s="72">
        <f>1831*BB26</f>
        <v>1185.0232</v>
      </c>
      <c r="AF26" s="72">
        <f>(44045-1831)*BB26</f>
        <v>27320.9008</v>
      </c>
      <c r="AG26" s="72">
        <v>0</v>
      </c>
      <c r="AH26" s="72">
        <v>0</v>
      </c>
      <c r="AI26" s="72">
        <v>0</v>
      </c>
      <c r="AJ26" s="72">
        <v>0</v>
      </c>
      <c r="AK26" s="72">
        <v>0</v>
      </c>
      <c r="AL26" s="72">
        <v>0</v>
      </c>
      <c r="AM26" s="72">
        <v>0</v>
      </c>
      <c r="AN26" s="72">
        <v>0</v>
      </c>
      <c r="AO26" s="72">
        <v>0</v>
      </c>
      <c r="AP26" s="72">
        <v>0</v>
      </c>
      <c r="AQ26" s="72">
        <v>0</v>
      </c>
      <c r="AR26" s="72"/>
      <c r="AS26" s="72"/>
      <c r="AT26" s="73">
        <f>SUM(D26:AS26)</f>
        <v>57031.056896</v>
      </c>
      <c r="AU26" s="72">
        <f>AU20</f>
        <v>4578.6963434022255</v>
      </c>
      <c r="AV26" s="75"/>
      <c r="AW26" s="72"/>
      <c r="AX26" s="73">
        <f>SUM(AT26:AV26)-H26</f>
        <v>47790.29874340223</v>
      </c>
      <c r="AY26" s="72"/>
      <c r="AZ26" s="72"/>
      <c r="BA26" s="72"/>
      <c r="BB26" s="75">
        <v>0.6472</v>
      </c>
      <c r="BC26" s="72"/>
    </row>
    <row r="27" spans="1:55" s="71" customFormat="1" ht="12.75">
      <c r="A27" s="71" t="s">
        <v>160</v>
      </c>
      <c r="B27" s="67"/>
      <c r="C27" s="67" t="s">
        <v>174</v>
      </c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3"/>
      <c r="AU27" s="72"/>
      <c r="AV27" s="75"/>
      <c r="AW27" s="72"/>
      <c r="AX27" s="73"/>
      <c r="AY27" s="72"/>
      <c r="AZ27" s="72"/>
      <c r="BA27" s="72"/>
      <c r="BB27" s="72"/>
      <c r="BC27" s="72"/>
    </row>
    <row r="28" spans="2:54" ht="12.75">
      <c r="B28" s="24"/>
      <c r="C28" s="27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33"/>
      <c r="AU28" s="72"/>
      <c r="AX28" s="20"/>
      <c r="AY28" s="33"/>
      <c r="BA28" s="53"/>
      <c r="BB28" s="21"/>
    </row>
    <row r="29" spans="2:51" ht="12.75">
      <c r="B29" s="24"/>
      <c r="C29" s="27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33"/>
      <c r="AX29" s="20"/>
      <c r="AY29" s="33"/>
    </row>
    <row r="30" spans="1:52" ht="12.75">
      <c r="A30" s="24" t="s">
        <v>99</v>
      </c>
      <c r="B30" s="24">
        <v>2</v>
      </c>
      <c r="C30" s="27" t="s">
        <v>78</v>
      </c>
      <c r="D30" s="23">
        <f>D31*Energber9095!$F$7/Energber9095!$F$8</f>
        <v>0.28608904284325926</v>
      </c>
      <c r="E30" s="23">
        <f>E31*Energber9095!$F$7/Energber9095!$F$8</f>
        <v>0.05084984354610843</v>
      </c>
      <c r="F30" s="23">
        <f>F31*Energber9095!$F$7/Energber9095!$F$8</f>
        <v>0.1847658401696049</v>
      </c>
      <c r="G30" s="23">
        <f>G31*Energber9095!$F$7/Energber9095!$F$8</f>
        <v>0.1847658401696049</v>
      </c>
      <c r="H30" s="23">
        <f>H31*Energber9095!$F$7/Energber9095!$F$8</f>
        <v>0.1847658401696049</v>
      </c>
      <c r="I30" s="23">
        <f>I31*Energber9095!$F$7/Energber9095!$F$8</f>
        <v>0.1966862169547407</v>
      </c>
      <c r="J30" s="23">
        <f>J31*Energber9095!$F$7/Energber9095!$F$8</f>
        <v>0.1966862169547407</v>
      </c>
      <c r="K30" s="23">
        <f>K31*Energber9095!$F$7/Energber9095!$F$8</f>
        <v>0.1847658401696049</v>
      </c>
      <c r="L30" s="23">
        <f>L31*Energber9095!$F$7/Energber9095!$F$8</f>
        <v>0.1847658401696049</v>
      </c>
      <c r="M30" s="23">
        <f>M31*Energber9095!$F$7/Energber9095!$F$8</f>
        <v>0.1966862169547407</v>
      </c>
      <c r="N30" s="23">
        <f>N31*Energber9095!$F$7/Energber9095!$F$8</f>
        <v>0.19557632133118621</v>
      </c>
      <c r="O30" s="23">
        <f>O31*Energber9095!$F$7/Energber9095!$F$8</f>
        <v>0.19557632133118621</v>
      </c>
      <c r="P30" s="23">
        <f>P31*Energber9095!$F$7/Energber9095!$F$8</f>
        <v>0.13690342493183036</v>
      </c>
      <c r="Q30" s="23">
        <f>Q31*Energber9095!$F$7/Energber9095!$F$8</f>
        <v>0.15646105706494898</v>
      </c>
      <c r="R30" s="23">
        <f>R31*Energber9095!$F$7/Energber9095!$F$8</f>
        <v>0.15646105706494898</v>
      </c>
      <c r="S30" s="23">
        <f>S31*Energber9095!$F$7/Energber9095!$F$8</f>
        <v>0.13690342493183036</v>
      </c>
      <c r="T30" s="23">
        <f>T31*Energber9095!$F$7/Energber9095!$F$8</f>
        <v>0.17112928116478796</v>
      </c>
      <c r="U30" s="23">
        <f>U31*Energber9095!$F$7/Energber9095!$F$8</f>
        <v>0.15646105706494898</v>
      </c>
      <c r="V30" s="23">
        <f>V31*Energber9095!$F$7/Energber9095!$F$8</f>
        <v>0.1966862169547407</v>
      </c>
      <c r="W30" s="23">
        <f>W31*Energber9095!$F$7/Energber9095!$F$8</f>
        <v>0.1966862169547407</v>
      </c>
      <c r="X30" s="23">
        <f>X31*Energber9095!$F$7/Energber9095!$F$8</f>
        <v>0.22648715891758023</v>
      </c>
      <c r="Y30" s="23">
        <f>Y31*Energber9095!$F$7/Energber9095!$F$8</f>
        <v>0.26820847766555556</v>
      </c>
      <c r="Z30" s="23">
        <f>Z31*Energber9095!$F$7/Energber9095!$F$8</f>
        <v>0.28608904284325926</v>
      </c>
      <c r="AA30" s="23">
        <f>AA31*Energber9095!$F$7/Energber9095!$F$8</f>
        <v>0.28012885445069136</v>
      </c>
      <c r="AB30" s="23">
        <f>AB31*Energber9095!$F$7/Energber9095!$F$8</f>
        <v>0.28608904284325926</v>
      </c>
      <c r="AC30" s="23">
        <f>AC31*Energber9095!$F$7/Energber9095!$F$8</f>
        <v>0.28012885445069136</v>
      </c>
      <c r="AD30" s="23">
        <f>AD31*Energber9095!$F$7/Energber9095!$F$8</f>
        <v>0.17880565177703703</v>
      </c>
      <c r="AE30" s="23">
        <f>AE31*Energber9095!$F$7/Energber9095!$F$8</f>
        <v>0.23840753570271603</v>
      </c>
      <c r="AF30" s="23">
        <f>AF31*Energber9095!$F$7/Energber9095!$F$8</f>
        <v>0.28608904284325926</v>
      </c>
      <c r="AG30" s="23">
        <f>AG31*Energber9095!$F$7/Energber9095!$F$8</f>
        <v>0.26820847766555556</v>
      </c>
      <c r="AH30" s="23">
        <f>AH31*Energber9095!$F$7/Energber9095!$F$8</f>
        <v>0.26820847766555556</v>
      </c>
      <c r="AI30" s="23">
        <f>AI31*Energber9095!$F$7/Energber9095!$F$8</f>
        <v>0.28608904284325926</v>
      </c>
      <c r="AJ30" s="23">
        <f>AJ31*Energber9095!$F$7/Energber9095!$F$8</f>
        <v>0.28608904284325926</v>
      </c>
      <c r="AK30" s="23">
        <f>AK31*Energber9095!$F$7/Energber9095!$F$8</f>
        <v>0.28608904284325926</v>
      </c>
      <c r="AL30" s="23">
        <f>AL31*Energber9095!$F$7/Energber9095!$F$8</f>
        <v>0.28608904284325926</v>
      </c>
      <c r="AM30" s="23">
        <f>AM31*Energber9095!$F$7/Energber9095!$F$8</f>
        <v>0.28608904284325926</v>
      </c>
      <c r="AN30" s="23">
        <f>AN31*Energber9095!$F$7/Energber9095!$F$8</f>
        <v>0.28608904284325926</v>
      </c>
      <c r="AO30" s="23">
        <f>AO31*Energber9095!$F$7/Energber9095!$F$8</f>
        <v>0.28608904284325926</v>
      </c>
      <c r="AP30" s="23">
        <f>AP31*Energber9095!$F$7/Energber9095!$F$8</f>
        <v>0.28608904284325926</v>
      </c>
      <c r="AQ30" s="23">
        <f>AQ31*Energber9095!$F$7/Energber9095!$F$8</f>
        <v>0.28608904284325926</v>
      </c>
      <c r="AT30" s="34">
        <f>AT31*Energber9095!$F$7/Energber9095!$F$8</f>
        <v>0.1367546112840747</v>
      </c>
      <c r="AU30" s="25">
        <f>AU31*Energber9095!$F$7/Energber9095!$F$8</f>
        <v>0.31183705669915257</v>
      </c>
      <c r="AV30" s="25"/>
      <c r="AW30" s="25">
        <f>Energber9095!B7</f>
        <v>0.0595</v>
      </c>
      <c r="AX30" s="64">
        <f>AX31*Energber9095!$F$7/Energber9095!$F$8</f>
        <v>0.25176686385668573</v>
      </c>
      <c r="AY30" s="36">
        <f>AY31*Energber9095!$F$7/Energber9095!$F$8</f>
        <v>0.13357725938025616</v>
      </c>
      <c r="AZ30" s="36">
        <f>AZ31*Energber9095!$F$7/Energber9095!$F$8</f>
        <v>0.04766295114179361</v>
      </c>
    </row>
    <row r="31" spans="1:54" ht="12.75">
      <c r="A31" s="24" t="s">
        <v>176</v>
      </c>
      <c r="B31" s="24">
        <v>2</v>
      </c>
      <c r="C31" s="24" t="str">
        <f>C12</f>
        <v>Elektrizität</v>
      </c>
      <c r="D31" s="24">
        <f>EnergNa90!D31*$BB31</f>
        <v>73783.632</v>
      </c>
      <c r="E31" s="24">
        <f>EnergNa90!E31*$BB31*1.6</f>
        <v>13114.400000000001</v>
      </c>
      <c r="F31" s="24">
        <f>EnergNa90!F31*$BB31</f>
        <v>47651.929</v>
      </c>
      <c r="G31" s="24">
        <f>EnergNa90!G31*$BB31</f>
        <v>47651.929</v>
      </c>
      <c r="H31" s="24">
        <f>EnergNa90!H31*$BB31</f>
        <v>47651.929</v>
      </c>
      <c r="I31" s="24">
        <f>EnergNa90!I31*$BB31</f>
        <v>50726.246999999996</v>
      </c>
      <c r="J31" s="24">
        <f>EnergNa90!J31*$BB31</f>
        <v>50726.246999999996</v>
      </c>
      <c r="K31" s="24">
        <f>EnergNa90!K31*$BB31</f>
        <v>47651.929</v>
      </c>
      <c r="L31" s="24">
        <f>EnergNa90!L31*$BB31</f>
        <v>47651.929</v>
      </c>
      <c r="M31" s="24">
        <f>EnergNa90!M31*$BB31</f>
        <v>50726.246999999996</v>
      </c>
      <c r="N31" s="24">
        <f>EnergNa90!N31*$BB31</f>
        <v>50439.99999999999</v>
      </c>
      <c r="O31" s="24">
        <f>EnergNa90!O31*$BB31</f>
        <v>50439.99999999999</v>
      </c>
      <c r="P31" s="24">
        <f>EnergNa90!P31*$BB31</f>
        <v>35308</v>
      </c>
      <c r="Q31" s="24">
        <f>EnergNa90!Q31*$BB31</f>
        <v>40352</v>
      </c>
      <c r="R31" s="24">
        <f>EnergNa90!R31*$BB31</f>
        <v>40352</v>
      </c>
      <c r="S31" s="24">
        <f>EnergNa90!S31*$BB31</f>
        <v>35308</v>
      </c>
      <c r="T31" s="24">
        <f>EnergNa90!T31*$BB31</f>
        <v>44135</v>
      </c>
      <c r="U31" s="24">
        <f>EnergNa90!U31*$BB31</f>
        <v>40352</v>
      </c>
      <c r="V31" s="24">
        <f>EnergNa90!V31*$BB31</f>
        <v>50726.246999999996</v>
      </c>
      <c r="W31" s="24">
        <f>EnergNa90!W31*$BB31</f>
        <v>50726.246999999996</v>
      </c>
      <c r="X31" s="24">
        <f>EnergNa90!X31*$BB31</f>
        <v>58412.041999999994</v>
      </c>
      <c r="Y31" s="24">
        <f>EnergNa90!Y31*$BB31</f>
        <v>69172.155</v>
      </c>
      <c r="Z31" s="24">
        <f>EnergNa90!Z31*$BB31</f>
        <v>73783.632</v>
      </c>
      <c r="AA31" s="24">
        <f>EnergNa90!AA31*$BB31</f>
        <v>72246.473</v>
      </c>
      <c r="AB31" s="24">
        <f>EnergNa90!AB31*$BB31</f>
        <v>73783.632</v>
      </c>
      <c r="AC31" s="24">
        <f>EnergNa90!AC31*$BB31</f>
        <v>72246.473</v>
      </c>
      <c r="AD31" s="24">
        <f>EnergNa90!AD31*$BB31</f>
        <v>46114.77</v>
      </c>
      <c r="AE31" s="24">
        <f>EnergNa90!AE31*$BB31</f>
        <v>61486.35999999999</v>
      </c>
      <c r="AF31" s="24">
        <f>EnergNa90!AF31*$BB31</f>
        <v>73783.632</v>
      </c>
      <c r="AG31" s="24">
        <f>EnergNa90!AG31*$BB31</f>
        <v>69172.155</v>
      </c>
      <c r="AH31" s="24">
        <f>EnergNa90!AH31*$BB31</f>
        <v>69172.155</v>
      </c>
      <c r="AI31" s="24">
        <f>EnergNa90!AI31*$BB31</f>
        <v>73783.632</v>
      </c>
      <c r="AJ31" s="24">
        <f>EnergNa90!AJ31*$BB31</f>
        <v>73783.632</v>
      </c>
      <c r="AK31" s="24">
        <f>EnergNa90!AK31*$BB31</f>
        <v>73783.632</v>
      </c>
      <c r="AL31" s="24">
        <f>EnergNa90!AL31*$BB31</f>
        <v>73783.632</v>
      </c>
      <c r="AM31" s="24">
        <f>EnergNa90!AM31*$BB31</f>
        <v>73783.632</v>
      </c>
      <c r="AN31" s="24">
        <f>EnergNa90!AN31*$BB31</f>
        <v>73783.632</v>
      </c>
      <c r="AO31" s="24">
        <f>EnergNa90!AO31*$BB31</f>
        <v>73783.632</v>
      </c>
      <c r="AP31" s="24">
        <f>EnergNa90!AP31*$BB31</f>
        <v>73783.632</v>
      </c>
      <c r="AQ31" s="24">
        <f>EnergNa90!AQ31*$BB31</f>
        <v>73783.632</v>
      </c>
      <c r="AT31" s="32">
        <f>AT41/AT12*10^6</f>
        <v>35269.620300751616</v>
      </c>
      <c r="AU31" s="24">
        <f>EnergNa90!AU31*$BB31*1.09</f>
        <v>80424.15888</v>
      </c>
      <c r="AW31" s="24">
        <f>Energber9095!B8</f>
        <v>14988.290398126464</v>
      </c>
      <c r="AX31" s="63">
        <f>AX41/AX13*10^6</f>
        <v>64931.78993497231</v>
      </c>
      <c r="AY31" s="62">
        <f>AY41/AY13*10^6</f>
        <v>34450.16716379842</v>
      </c>
      <c r="AZ31" s="24">
        <f>AZ41*10^6/AZ13</f>
        <v>12292.486325688513</v>
      </c>
      <c r="BB31" s="23">
        <v>1.261</v>
      </c>
    </row>
    <row r="32" spans="1:54" ht="12.75">
      <c r="A32" s="24" t="s">
        <v>176</v>
      </c>
      <c r="B32" s="24">
        <f>B14</f>
        <v>3</v>
      </c>
      <c r="C32" s="24" t="str">
        <f>C14</f>
        <v>Gas</v>
      </c>
      <c r="D32" s="24">
        <f>EnergNa90!D32*$BB32</f>
        <v>20621.969280000005</v>
      </c>
      <c r="E32" s="24">
        <f>EnergNa90!E32*$BB32*1.6</f>
        <v>11961.6</v>
      </c>
      <c r="F32" s="24">
        <f>EnergNa90!F32*$BB32</f>
        <v>5340</v>
      </c>
      <c r="G32" s="24">
        <f>EnergNa90!G32*$BB32</f>
        <v>12107.595599999999</v>
      </c>
      <c r="H32" s="24">
        <f>EnergNa90!H32*$BB32</f>
        <v>12107.595599999999</v>
      </c>
      <c r="I32" s="24">
        <f>EnergNa90!I32*$BB32</f>
        <v>12888.730800000001</v>
      </c>
      <c r="J32" s="24">
        <f>EnergNa90!J32*$BB32</f>
        <v>12888.730800000001</v>
      </c>
      <c r="K32" s="24">
        <f>EnergNa90!K32*$BB32</f>
        <v>12107.595599999999</v>
      </c>
      <c r="L32" s="24">
        <f>EnergNa90!L32*$BB32</f>
        <v>12107.595599999999</v>
      </c>
      <c r="M32" s="24">
        <f>EnergNa90!M32*$BB32</f>
        <v>12888.730800000001</v>
      </c>
      <c r="N32" s="24">
        <f>EnergNa90!N32*$BB32</f>
        <v>12816</v>
      </c>
      <c r="O32" s="24">
        <f>EnergNa90!O32*$BB32</f>
        <v>12816</v>
      </c>
      <c r="P32" s="24">
        <f>EnergNa90!P32*$BB32</f>
        <v>8971.2</v>
      </c>
      <c r="Q32" s="24">
        <f>EnergNa90!Q32*$BB32</f>
        <v>10252.800000000001</v>
      </c>
      <c r="R32" s="24">
        <f>EnergNa90!R32*$BB32</f>
        <v>10252.800000000001</v>
      </c>
      <c r="S32" s="24">
        <f>EnergNa90!S32*$BB32</f>
        <v>8373.12</v>
      </c>
      <c r="T32" s="24">
        <f>EnergNa90!T32*$BB32</f>
        <v>11214</v>
      </c>
      <c r="U32" s="24">
        <f>EnergNa90!U32*$BB32</f>
        <v>10252.800000000001</v>
      </c>
      <c r="V32" s="24">
        <f>EnergNa90!V32*$BB32</f>
        <v>12888.730800000001</v>
      </c>
      <c r="W32" s="24">
        <f>EnergNa90!W32*$BB32</f>
        <v>12888.730800000001</v>
      </c>
      <c r="X32" s="24">
        <f>EnergNa90!X32*$BB32</f>
        <v>14841.568800000001</v>
      </c>
      <c r="Y32" s="24">
        <f>EnergNa90!Y32*$BB32</f>
        <v>20504.799000000003</v>
      </c>
      <c r="Z32" s="24">
        <f>EnergNa90!Z32*$BB32</f>
        <v>21871.785600000003</v>
      </c>
      <c r="AA32" s="24">
        <f>EnergNa90!AA32*$BB32</f>
        <v>21416.123400000004</v>
      </c>
      <c r="AB32" s="24">
        <f>EnergNa90!AB32*$BB32</f>
        <v>21871.785600000003</v>
      </c>
      <c r="AC32" s="24">
        <f>EnergNa90!AC32*$BB32</f>
        <v>21416.123400000004</v>
      </c>
      <c r="AD32" s="24">
        <f>EnergNa90!AD32*$BB32</f>
        <v>13669.866</v>
      </c>
      <c r="AE32" s="24">
        <f>EnergNa90!AE32*$BB32</f>
        <v>18226.488</v>
      </c>
      <c r="AF32" s="24">
        <f>EnergNa90!AF32*$BB32</f>
        <v>21871.785600000003</v>
      </c>
      <c r="AG32" s="24">
        <f>EnergNa90!AG32*$BB32</f>
        <v>20504.799000000003</v>
      </c>
      <c r="AH32" s="24">
        <f>EnergNa90!AH32*$BB32</f>
        <v>20504.799000000003</v>
      </c>
      <c r="AI32" s="24">
        <f>EnergNa90!AI32*$BB32</f>
        <v>21871.785600000003</v>
      </c>
      <c r="AJ32" s="24">
        <f>EnergNa90!AJ32*$BB32</f>
        <v>21871.785600000003</v>
      </c>
      <c r="AK32" s="24">
        <f>EnergNa90!AK32*$BB32</f>
        <v>21871.785600000003</v>
      </c>
      <c r="AL32" s="24">
        <f>EnergNa90!AL32*$BB32</f>
        <v>21871.785600000003</v>
      </c>
      <c r="AM32" s="24">
        <f>EnergNa90!AM32*$BB32</f>
        <v>21871.785600000003</v>
      </c>
      <c r="AN32" s="24">
        <f>EnergNa90!AN32*$BB32</f>
        <v>21871.785600000003</v>
      </c>
      <c r="AO32" s="24">
        <f>EnergNa90!AO32*$BB32</f>
        <v>21871.785600000003</v>
      </c>
      <c r="AP32" s="24">
        <f>EnergNa90!AP32*$BB32</f>
        <v>21871.785600000003</v>
      </c>
      <c r="AQ32" s="24">
        <f>EnergNa90!AQ32*$BB32</f>
        <v>21871.785600000003</v>
      </c>
      <c r="AT32" s="37">
        <f>AT42*10^6/AT15</f>
        <v>18711.970839423597</v>
      </c>
      <c r="AU32" s="24">
        <f>EnergNa90!AU32*$BB32*1.09</f>
        <v>26905.420828800008</v>
      </c>
      <c r="AV32" s="19">
        <v>5517</v>
      </c>
      <c r="AW32" s="19">
        <v>12150</v>
      </c>
      <c r="AX32" s="63">
        <f>AX42/AX15*10^6</f>
        <v>19139.581850041774</v>
      </c>
      <c r="AY32" s="62">
        <f>AY42/AY15*10^6</f>
        <v>21785.07091511971</v>
      </c>
      <c r="AZ32" s="98">
        <f>AZ42*10^6/AZ15</f>
        <v>4474.251028000784</v>
      </c>
      <c r="BB32" s="23">
        <v>1.068</v>
      </c>
    </row>
    <row r="33" spans="1:54" ht="12.75">
      <c r="A33" s="19" t="s">
        <v>177</v>
      </c>
      <c r="B33" s="24">
        <f>B16</f>
        <v>4</v>
      </c>
      <c r="C33" s="24" t="str">
        <f>C16</f>
        <v>Wasser</v>
      </c>
      <c r="D33" s="23">
        <f>EnergNa90!D33*$BB33</f>
        <v>1.6125</v>
      </c>
      <c r="E33" s="23">
        <f>EnergNa90!E33*$BB33*1.6</f>
        <v>1.58</v>
      </c>
      <c r="F33" s="23">
        <f>EnergNa90!F33*$BB33</f>
        <v>0.9875</v>
      </c>
      <c r="G33" s="23">
        <f>EnergNa90!G33*$BB33</f>
        <v>0.625</v>
      </c>
      <c r="H33" s="23">
        <f>EnergNa90!H33*$BB33</f>
        <v>1.3496071428571428</v>
      </c>
      <c r="I33" s="23">
        <f>EnergNa90!I33*$BB33</f>
        <v>1.4366785714285715</v>
      </c>
      <c r="J33" s="23">
        <f>EnergNa90!J33*$BB33</f>
        <v>1.4366785714285715</v>
      </c>
      <c r="K33" s="23">
        <f>EnergNa90!K33*$BB33</f>
        <v>1.3496071428571428</v>
      </c>
      <c r="L33" s="23">
        <f>EnergNa90!L33*$BB33</f>
        <v>1.3496071428571428</v>
      </c>
      <c r="M33" s="23">
        <f>EnergNa90!M33*$BB33</f>
        <v>1.4366785714285715</v>
      </c>
      <c r="N33" s="23">
        <f>EnergNa90!N33*$BB33</f>
        <v>1.4285714285714284</v>
      </c>
      <c r="O33" s="23">
        <f>EnergNa90!O33*$BB33</f>
        <v>1.4285714285714284</v>
      </c>
      <c r="P33" s="23">
        <f>EnergNa90!P33*$BB33</f>
        <v>1</v>
      </c>
      <c r="Q33" s="23">
        <f>EnergNa90!Q33*$BB33</f>
        <v>1.1428571428571428</v>
      </c>
      <c r="R33" s="23">
        <f>EnergNa90!R33*$BB33</f>
        <v>1.1428571428571428</v>
      </c>
      <c r="S33" s="23">
        <f>EnergNa90!S33*$BB33</f>
        <v>0.9333333333333333</v>
      </c>
      <c r="T33" s="23">
        <f>EnergNa90!T33*$BB33</f>
        <v>1.25</v>
      </c>
      <c r="U33" s="23">
        <f>EnergNa90!U33*$BB33</f>
        <v>1.1428571428571428</v>
      </c>
      <c r="V33" s="23">
        <f>EnergNa90!V33*$BB33</f>
        <v>1.4366785714285715</v>
      </c>
      <c r="W33" s="23">
        <f>EnergNa90!W33*$BB33</f>
        <v>1.4366785714285715</v>
      </c>
      <c r="X33" s="23">
        <f>EnergNa90!X33*$BB33</f>
        <v>1.654357142857143</v>
      </c>
      <c r="Y33" s="23">
        <f>EnergNa90!Y33*$BB33</f>
        <v>2.285625</v>
      </c>
      <c r="Z33" s="23">
        <f>EnergNa90!Z33*$BB33</f>
        <v>1.6125</v>
      </c>
      <c r="AA33" s="23">
        <f>EnergNa90!AA33*$BB33</f>
        <v>2.3872083333333336</v>
      </c>
      <c r="AB33" s="23">
        <f>EnergNa90!AB33*$BB33</f>
        <v>1.6125</v>
      </c>
      <c r="AC33" s="23">
        <f>EnergNa90!AC33*$BB33</f>
        <v>2.3872083333333336</v>
      </c>
      <c r="AD33" s="23">
        <f>EnergNa90!AD33*$BB33</f>
        <v>1.5237500000000002</v>
      </c>
      <c r="AE33" s="23">
        <f>EnergNa90!AE33*$BB33</f>
        <v>2.0316666666666667</v>
      </c>
      <c r="AF33" s="23">
        <f>EnergNa90!AF33*$BB33</f>
        <v>1.6125</v>
      </c>
      <c r="AG33" s="23">
        <f>EnergNa90!AG33*$BB33</f>
        <v>2.285625</v>
      </c>
      <c r="AH33" s="23">
        <f>EnergNa90!AH33*$BB33</f>
        <v>2.285625</v>
      </c>
      <c r="AI33" s="23">
        <f>EnergNa90!AI33*$BB33</f>
        <v>1.6125</v>
      </c>
      <c r="AJ33" s="23">
        <f>EnergNa90!AJ33*$BB33</f>
        <v>1.6125</v>
      </c>
      <c r="AK33" s="23">
        <f>EnergNa90!AK33*$BB33</f>
        <v>1.6125</v>
      </c>
      <c r="AL33" s="23">
        <f>EnergNa90!AL33*$BB33</f>
        <v>1.6125</v>
      </c>
      <c r="AM33" s="23">
        <f>EnergNa90!AM33*$BB33</f>
        <v>1.6125</v>
      </c>
      <c r="AN33" s="23">
        <f>EnergNa90!AN33*$BB33</f>
        <v>1.6125</v>
      </c>
      <c r="AO33" s="23">
        <f>EnergNa90!AO33*$BB33</f>
        <v>1.6125</v>
      </c>
      <c r="AP33" s="23">
        <f>EnergNa90!AP33*$BB33</f>
        <v>1.6125</v>
      </c>
      <c r="AQ33" s="23">
        <f>EnergNa90!AQ33*$BB33</f>
        <v>1.6125</v>
      </c>
      <c r="AR33" s="23"/>
      <c r="AS33" s="23"/>
      <c r="AT33" s="34">
        <f>AT43/AT16</f>
        <v>1.4008809385746834</v>
      </c>
      <c r="AU33" s="23">
        <f>EnergNa90!AU33*$BB33*1.09</f>
        <v>1.7576250000000002</v>
      </c>
      <c r="AV33" s="23"/>
      <c r="AW33" s="23">
        <v>0</v>
      </c>
      <c r="AX33" s="34">
        <f>AX43/AX16</f>
        <v>1.7175986953826248</v>
      </c>
      <c r="AY33" s="36">
        <f>AY43/AY16</f>
        <v>1.6301555400076255</v>
      </c>
      <c r="AZ33" s="23">
        <v>0</v>
      </c>
      <c r="BB33" s="23">
        <v>1.25</v>
      </c>
    </row>
    <row r="34" spans="1:55" s="71" customFormat="1" ht="12.75">
      <c r="A34" s="70" t="s">
        <v>176</v>
      </c>
      <c r="B34" s="71">
        <v>5</v>
      </c>
      <c r="C34" s="71" t="s">
        <v>103</v>
      </c>
      <c r="D34" s="72">
        <f aca="true" t="shared" si="15" ref="D34:M34">D44/D17*10^6</f>
        <v>13325.811082727025</v>
      </c>
      <c r="E34" s="72">
        <f t="shared" si="15"/>
        <v>30200.523972353803</v>
      </c>
      <c r="F34" s="72">
        <f t="shared" si="15"/>
        <v>30029.501104817442</v>
      </c>
      <c r="G34" s="72">
        <f t="shared" si="15"/>
        <v>29650.594138813463</v>
      </c>
      <c r="H34" s="72">
        <f t="shared" si="15"/>
        <v>5825.451418744626</v>
      </c>
      <c r="I34" s="72">
        <f t="shared" si="15"/>
        <v>22614.279752088565</v>
      </c>
      <c r="J34" s="72">
        <f t="shared" si="15"/>
        <v>25139.537200097693</v>
      </c>
      <c r="K34" s="72">
        <f t="shared" si="15"/>
        <v>22115.446602582077</v>
      </c>
      <c r="L34" s="72">
        <f t="shared" si="15"/>
        <v>22409.00306309681</v>
      </c>
      <c r="M34" s="72">
        <f t="shared" si="15"/>
        <v>30172.21763713513</v>
      </c>
      <c r="N34" s="72">
        <f aca="true" t="shared" si="16" ref="N34:W34">N44/N17*10^6</f>
        <v>31115.490767061932</v>
      </c>
      <c r="O34" s="72">
        <f t="shared" si="16"/>
        <v>27486.017053057374</v>
      </c>
      <c r="P34" s="72">
        <f t="shared" si="16"/>
        <v>7482.257205572095</v>
      </c>
      <c r="Q34" s="72">
        <f t="shared" si="16"/>
        <v>25721.630565149848</v>
      </c>
      <c r="R34" s="72">
        <f t="shared" si="16"/>
        <v>22964.144613492146</v>
      </c>
      <c r="S34" s="72">
        <f t="shared" si="16"/>
        <v>13229.31159227008</v>
      </c>
      <c r="T34" s="72">
        <f t="shared" si="16"/>
        <v>25580.92474870064</v>
      </c>
      <c r="U34" s="72">
        <f t="shared" si="16"/>
        <v>7195.817036153422</v>
      </c>
      <c r="V34" s="72">
        <f t="shared" si="16"/>
        <v>21051.05262111329</v>
      </c>
      <c r="W34" s="72">
        <f t="shared" si="16"/>
        <v>20461.873627733516</v>
      </c>
      <c r="X34" s="72">
        <f aca="true" t="shared" si="17" ref="X34:AG34">X44/X17*10^6</f>
        <v>30672.360135718445</v>
      </c>
      <c r="Y34" s="72">
        <f t="shared" si="17"/>
        <v>12363.847168140152</v>
      </c>
      <c r="Z34" s="72">
        <f t="shared" si="17"/>
        <v>23079.159244183993</v>
      </c>
      <c r="AA34" s="72">
        <f t="shared" si="17"/>
        <v>21929.65920617205</v>
      </c>
      <c r="AB34" s="72">
        <f t="shared" si="17"/>
        <v>19783.37450942491</v>
      </c>
      <c r="AC34" s="72">
        <f t="shared" si="17"/>
        <v>8467.371298011913</v>
      </c>
      <c r="AD34" s="72">
        <f t="shared" si="17"/>
        <v>19155.04006254006</v>
      </c>
      <c r="AE34" s="72">
        <f t="shared" si="17"/>
        <v>14147.767641917339</v>
      </c>
      <c r="AF34" s="72">
        <f t="shared" si="17"/>
        <v>33758.754389590365</v>
      </c>
      <c r="AG34" s="72">
        <f t="shared" si="17"/>
        <v>4245.410869897966</v>
      </c>
      <c r="AH34" s="72">
        <f aca="true" t="shared" si="18" ref="AH34:AQ34">AH44/AH17*10^6</f>
        <v>25554.626606469392</v>
      </c>
      <c r="AI34" s="72">
        <f t="shared" si="18"/>
        <v>26847.196170947078</v>
      </c>
      <c r="AJ34" s="72">
        <f t="shared" si="18"/>
        <v>28862.276979839797</v>
      </c>
      <c r="AK34" s="72">
        <f t="shared" si="18"/>
        <v>20788.00157684655</v>
      </c>
      <c r="AL34" s="72">
        <f t="shared" si="18"/>
        <v>20803.45249700727</v>
      </c>
      <c r="AM34" s="72">
        <f t="shared" si="18"/>
        <v>13351.808046020438</v>
      </c>
      <c r="AN34" s="72">
        <f t="shared" si="18"/>
        <v>17668.97138422561</v>
      </c>
      <c r="AO34" s="72">
        <f t="shared" si="18"/>
        <v>28958.057743289584</v>
      </c>
      <c r="AP34" s="72">
        <f t="shared" si="18"/>
        <v>22272.966504563006</v>
      </c>
      <c r="AQ34" s="72">
        <f t="shared" si="18"/>
        <v>28846.861492162217</v>
      </c>
      <c r="AR34" s="72"/>
      <c r="AS34" s="72"/>
      <c r="AT34" s="73">
        <f>AT44/AT17*10^6</f>
        <v>11822.655288154745</v>
      </c>
      <c r="AU34" s="72">
        <f>AU44/AU17*10^6</f>
        <v>15912.225887208018</v>
      </c>
      <c r="AV34" s="72">
        <v>17000</v>
      </c>
      <c r="AW34" s="72">
        <f>AW44/AW17*10^6</f>
        <v>8357.180710121886</v>
      </c>
      <c r="AX34" s="73">
        <f>AX44/AX17*10^6</f>
        <v>16242.372876786329</v>
      </c>
      <c r="AY34" s="72">
        <f>AY44/AY17*10^6</f>
        <v>13345.935443118979</v>
      </c>
      <c r="AZ34" s="72">
        <f>AZ44/AZ17*10^6</f>
        <v>14062.342942370375</v>
      </c>
      <c r="BA34" s="72"/>
      <c r="BB34" s="75"/>
      <c r="BC34" s="72"/>
    </row>
    <row r="35" spans="1:55" s="71" customFormat="1" ht="12.75">
      <c r="A35" s="70" t="s">
        <v>176</v>
      </c>
      <c r="C35" s="71" t="s">
        <v>168</v>
      </c>
      <c r="D35" s="72">
        <f>8120*$BB35</f>
        <v>6197.039777983349</v>
      </c>
      <c r="E35" s="72">
        <f>8120*$BB35</f>
        <v>6197.039777983349</v>
      </c>
      <c r="F35" s="72">
        <f>8120*$BB35</f>
        <v>6197.039777983349</v>
      </c>
      <c r="G35" s="72">
        <f>8120*$BB35</f>
        <v>6197.039777983349</v>
      </c>
      <c r="H35" s="72">
        <f>243900/41.868</f>
        <v>5825.451418744626</v>
      </c>
      <c r="I35" s="72">
        <f>6853*$BB35</f>
        <v>5230.087881591119</v>
      </c>
      <c r="J35" s="72">
        <f>7159*$BB35</f>
        <v>5463.621646623497</v>
      </c>
      <c r="K35" s="72">
        <f>8120*$BB35</f>
        <v>6197.039777983349</v>
      </c>
      <c r="L35" s="72">
        <f>6640*$BB35</f>
        <v>5067.5300647548565</v>
      </c>
      <c r="M35" s="72">
        <f>8120*$BB35</f>
        <v>6197.039777983349</v>
      </c>
      <c r="N35" s="72">
        <f>8120*$BB35</f>
        <v>6197.039777983349</v>
      </c>
      <c r="O35" s="72">
        <f>8120*$BB35</f>
        <v>6197.039777983349</v>
      </c>
      <c r="P35" s="72">
        <f>6000*$BB35</f>
        <v>4579.093432007401</v>
      </c>
      <c r="Q35" s="72">
        <f>8120*$BB35</f>
        <v>6197.039777983349</v>
      </c>
      <c r="R35" s="72">
        <f>6663*$BB35</f>
        <v>5085.083256244218</v>
      </c>
      <c r="S35" s="72">
        <f>6859*$BB35</f>
        <v>5234.666975023127</v>
      </c>
      <c r="T35" s="72">
        <f>8120*$BB35</f>
        <v>6197.039777983349</v>
      </c>
      <c r="U35" s="72">
        <f>7670*$BB35</f>
        <v>5853.607770582794</v>
      </c>
      <c r="V35" s="72">
        <f>7130*$BB35</f>
        <v>5441.489361702128</v>
      </c>
      <c r="W35" s="72">
        <f>7130*$BB35</f>
        <v>5441.489361702128</v>
      </c>
      <c r="X35" s="72">
        <f aca="true" t="shared" si="19" ref="X35:AM35">8120*$BB35</f>
        <v>6197.039777983349</v>
      </c>
      <c r="Y35" s="72">
        <f t="shared" si="19"/>
        <v>6197.039777983349</v>
      </c>
      <c r="Z35" s="72">
        <f t="shared" si="19"/>
        <v>6197.039777983349</v>
      </c>
      <c r="AA35" s="72">
        <f t="shared" si="19"/>
        <v>6197.039777983349</v>
      </c>
      <c r="AB35" s="72">
        <f t="shared" si="19"/>
        <v>6197.039777983349</v>
      </c>
      <c r="AC35" s="72">
        <f t="shared" si="19"/>
        <v>6197.039777983349</v>
      </c>
      <c r="AD35" s="72">
        <f t="shared" si="19"/>
        <v>6197.039777983349</v>
      </c>
      <c r="AE35" s="72">
        <f t="shared" si="19"/>
        <v>6197.039777983349</v>
      </c>
      <c r="AF35" s="72">
        <f t="shared" si="19"/>
        <v>6197.039777983349</v>
      </c>
      <c r="AG35" s="72">
        <f t="shared" si="19"/>
        <v>6197.039777983349</v>
      </c>
      <c r="AH35" s="72">
        <f t="shared" si="19"/>
        <v>6197.039777983349</v>
      </c>
      <c r="AI35" s="72">
        <f t="shared" si="19"/>
        <v>6197.039777983349</v>
      </c>
      <c r="AJ35" s="72">
        <f t="shared" si="19"/>
        <v>6197.039777983349</v>
      </c>
      <c r="AK35" s="72">
        <f t="shared" si="19"/>
        <v>6197.039777983349</v>
      </c>
      <c r="AL35" s="72">
        <f t="shared" si="19"/>
        <v>6197.039777983349</v>
      </c>
      <c r="AM35" s="72">
        <f t="shared" si="19"/>
        <v>6197.039777983349</v>
      </c>
      <c r="AN35" s="72">
        <f>8120*$BB35</f>
        <v>6197.039777983349</v>
      </c>
      <c r="AO35" s="72">
        <f>8120*$BB35</f>
        <v>6197.039777983349</v>
      </c>
      <c r="AP35" s="72">
        <f>8120*$BB35</f>
        <v>6197.039777983349</v>
      </c>
      <c r="AQ35" s="72">
        <f>8120*$BB35</f>
        <v>6197.039777983349</v>
      </c>
      <c r="AT35" s="73">
        <f>AT45/AT18*10^6</f>
        <v>5836.7316709453125</v>
      </c>
      <c r="AU35" s="72">
        <v>10363</v>
      </c>
      <c r="AV35" s="72"/>
      <c r="AW35" s="72"/>
      <c r="AX35" s="73"/>
      <c r="AY35" s="72"/>
      <c r="AZ35" s="72"/>
      <c r="BA35" s="72"/>
      <c r="BB35" s="75">
        <f>82.5/108.1</f>
        <v>0.7631822386679001</v>
      </c>
      <c r="BC35" s="72"/>
    </row>
    <row r="36" spans="1:55" s="71" customFormat="1" ht="12.75">
      <c r="A36" s="70" t="s">
        <v>176</v>
      </c>
      <c r="C36" s="71" t="s">
        <v>170</v>
      </c>
      <c r="D36" s="72">
        <f>31000*$BB36</f>
        <v>34536.67054714784</v>
      </c>
      <c r="E36" s="72">
        <f>33830*$BB36</f>
        <v>37689.53434225844</v>
      </c>
      <c r="F36" s="72">
        <f>33830*$BB36</f>
        <v>37689.53434225844</v>
      </c>
      <c r="G36" s="72">
        <f>33830*$BB36</f>
        <v>37689.53434225844</v>
      </c>
      <c r="H36" s="72">
        <f>243900/41.868</f>
        <v>5825.451418744626</v>
      </c>
      <c r="I36" s="72">
        <f aca="true" t="shared" si="20" ref="I36:X36">33830*$BB36</f>
        <v>37689.53434225844</v>
      </c>
      <c r="J36" s="72">
        <f t="shared" si="20"/>
        <v>37689.53434225844</v>
      </c>
      <c r="K36" s="72">
        <f t="shared" si="20"/>
        <v>37689.53434225844</v>
      </c>
      <c r="L36" s="72">
        <f t="shared" si="20"/>
        <v>37689.53434225844</v>
      </c>
      <c r="M36" s="72">
        <f t="shared" si="20"/>
        <v>37689.53434225844</v>
      </c>
      <c r="N36" s="72">
        <f t="shared" si="20"/>
        <v>37689.53434225844</v>
      </c>
      <c r="O36" s="72">
        <f t="shared" si="20"/>
        <v>37689.53434225844</v>
      </c>
      <c r="P36" s="72">
        <f t="shared" si="20"/>
        <v>37689.53434225844</v>
      </c>
      <c r="Q36" s="72">
        <f t="shared" si="20"/>
        <v>37689.53434225844</v>
      </c>
      <c r="R36" s="72">
        <f t="shared" si="20"/>
        <v>37689.53434225844</v>
      </c>
      <c r="S36" s="72">
        <f t="shared" si="20"/>
        <v>37689.53434225844</v>
      </c>
      <c r="T36" s="72">
        <f t="shared" si="20"/>
        <v>37689.53434225844</v>
      </c>
      <c r="U36" s="72">
        <f t="shared" si="20"/>
        <v>37689.53434225844</v>
      </c>
      <c r="V36" s="72">
        <f t="shared" si="20"/>
        <v>37689.53434225844</v>
      </c>
      <c r="W36" s="72">
        <f t="shared" si="20"/>
        <v>37689.53434225844</v>
      </c>
      <c r="X36" s="72">
        <f t="shared" si="20"/>
        <v>37689.53434225844</v>
      </c>
      <c r="Y36" s="72">
        <f aca="true" t="shared" si="21" ref="Y36:AD36">33830*$BB36</f>
        <v>37689.53434225844</v>
      </c>
      <c r="Z36" s="72">
        <f t="shared" si="21"/>
        <v>37689.53434225844</v>
      </c>
      <c r="AA36" s="72">
        <f t="shared" si="21"/>
        <v>37689.53434225844</v>
      </c>
      <c r="AB36" s="72">
        <f t="shared" si="21"/>
        <v>37689.53434225844</v>
      </c>
      <c r="AC36" s="72">
        <f t="shared" si="21"/>
        <v>37689.53434225844</v>
      </c>
      <c r="AD36" s="72">
        <f t="shared" si="21"/>
        <v>37689.53434225844</v>
      </c>
      <c r="AE36" s="72">
        <f>31000*$BB36</f>
        <v>34536.67054714784</v>
      </c>
      <c r="AF36" s="72">
        <f aca="true" t="shared" si="22" ref="AF36:AQ36">33830*$BB36</f>
        <v>37689.53434225844</v>
      </c>
      <c r="AG36" s="72">
        <f t="shared" si="22"/>
        <v>37689.53434225844</v>
      </c>
      <c r="AH36" s="72">
        <f t="shared" si="22"/>
        <v>37689.53434225844</v>
      </c>
      <c r="AI36" s="72">
        <f t="shared" si="22"/>
        <v>37689.53434225844</v>
      </c>
      <c r="AJ36" s="72">
        <f t="shared" si="22"/>
        <v>37689.53434225844</v>
      </c>
      <c r="AK36" s="72">
        <f t="shared" si="22"/>
        <v>37689.53434225844</v>
      </c>
      <c r="AL36" s="72">
        <f t="shared" si="22"/>
        <v>37689.53434225844</v>
      </c>
      <c r="AM36" s="72">
        <f t="shared" si="22"/>
        <v>37689.53434225844</v>
      </c>
      <c r="AN36" s="72">
        <f t="shared" si="22"/>
        <v>37689.53434225844</v>
      </c>
      <c r="AO36" s="72">
        <f t="shared" si="22"/>
        <v>37689.53434225844</v>
      </c>
      <c r="AP36" s="72">
        <f t="shared" si="22"/>
        <v>37689.53434225844</v>
      </c>
      <c r="AQ36" s="72">
        <f t="shared" si="22"/>
        <v>37689.53434225844</v>
      </c>
      <c r="AT36" s="73">
        <f>AT46/AT19*10^6</f>
        <v>37617.26389700351</v>
      </c>
      <c r="AU36" s="72">
        <v>33830</v>
      </c>
      <c r="AV36" s="72"/>
      <c r="AW36" s="72"/>
      <c r="AX36" s="73"/>
      <c r="AY36" s="72"/>
      <c r="AZ36" s="72"/>
      <c r="BA36"/>
      <c r="BB36" s="75">
        <f>95.7/85.9</f>
        <v>1.1140861466821885</v>
      </c>
      <c r="BC36" s="72"/>
    </row>
    <row r="37" spans="1:54" s="71" customFormat="1" ht="12.75">
      <c r="A37" s="70" t="s">
        <v>176</v>
      </c>
      <c r="C37" s="67" t="s">
        <v>178</v>
      </c>
      <c r="D37" s="72">
        <f>31450*10.54/25.2</f>
        <v>13154.087301587302</v>
      </c>
      <c r="E37" s="72">
        <f>31450*$BB37</f>
        <v>35038.00931315483</v>
      </c>
      <c r="F37" s="72">
        <f>31450*$BB37</f>
        <v>35038.00931315483</v>
      </c>
      <c r="G37" s="72">
        <f>31450*$BB37</f>
        <v>35038.00931315483</v>
      </c>
      <c r="H37" s="72">
        <f>243900/41.868</f>
        <v>5825.451418744626</v>
      </c>
      <c r="I37" s="72">
        <f aca="true" t="shared" si="23" ref="I37:X37">31450*$BB37</f>
        <v>35038.00931315483</v>
      </c>
      <c r="J37" s="72">
        <f t="shared" si="23"/>
        <v>35038.00931315483</v>
      </c>
      <c r="K37" s="72">
        <f t="shared" si="23"/>
        <v>35038.00931315483</v>
      </c>
      <c r="L37" s="72">
        <f t="shared" si="23"/>
        <v>35038.00931315483</v>
      </c>
      <c r="M37" s="72">
        <f t="shared" si="23"/>
        <v>35038.00931315483</v>
      </c>
      <c r="N37" s="72">
        <f t="shared" si="23"/>
        <v>35038.00931315483</v>
      </c>
      <c r="O37" s="72">
        <f t="shared" si="23"/>
        <v>35038.00931315483</v>
      </c>
      <c r="P37" s="72">
        <f t="shared" si="23"/>
        <v>35038.00931315483</v>
      </c>
      <c r="Q37" s="72">
        <f t="shared" si="23"/>
        <v>35038.00931315483</v>
      </c>
      <c r="R37" s="72">
        <f t="shared" si="23"/>
        <v>35038.00931315483</v>
      </c>
      <c r="S37" s="72">
        <f t="shared" si="23"/>
        <v>35038.00931315483</v>
      </c>
      <c r="T37" s="72">
        <f t="shared" si="23"/>
        <v>35038.00931315483</v>
      </c>
      <c r="U37" s="72">
        <f t="shared" si="23"/>
        <v>35038.00931315483</v>
      </c>
      <c r="V37" s="72">
        <f t="shared" si="23"/>
        <v>35038.00931315483</v>
      </c>
      <c r="W37" s="72">
        <f t="shared" si="23"/>
        <v>35038.00931315483</v>
      </c>
      <c r="X37" s="72">
        <f t="shared" si="23"/>
        <v>35038.00931315483</v>
      </c>
      <c r="Y37" s="72">
        <f>13154*$BB37</f>
        <v>14654.689173457507</v>
      </c>
      <c r="Z37" s="72">
        <f>13154*$BB37</f>
        <v>14654.689173457507</v>
      </c>
      <c r="AA37" s="72">
        <f>31450*$BB37</f>
        <v>35038.00931315483</v>
      </c>
      <c r="AB37" s="72">
        <f>31450*$BB37</f>
        <v>35038.00931315483</v>
      </c>
      <c r="AC37" s="72">
        <f>31450*$BB37</f>
        <v>35038.00931315483</v>
      </c>
      <c r="AD37" s="72">
        <f>31450*$BB37</f>
        <v>35038.00931315483</v>
      </c>
      <c r="AE37" s="72">
        <f>13000*BB37</f>
        <v>14483.119906868451</v>
      </c>
      <c r="AF37" s="72">
        <f>31450*$BB37</f>
        <v>35038.00931315483</v>
      </c>
      <c r="AG37" s="72">
        <f>31450*0.5*BB37</f>
        <v>17519.004656577414</v>
      </c>
      <c r="AH37" s="72">
        <f aca="true" t="shared" si="24" ref="AH37:AQ37">31450*$BB37</f>
        <v>35038.00931315483</v>
      </c>
      <c r="AI37" s="72">
        <f t="shared" si="24"/>
        <v>35038.00931315483</v>
      </c>
      <c r="AJ37" s="72">
        <f t="shared" si="24"/>
        <v>35038.00931315483</v>
      </c>
      <c r="AK37" s="72">
        <f t="shared" si="24"/>
        <v>35038.00931315483</v>
      </c>
      <c r="AL37" s="72">
        <f t="shared" si="24"/>
        <v>35038.00931315483</v>
      </c>
      <c r="AM37" s="72">
        <f t="shared" si="24"/>
        <v>35038.00931315483</v>
      </c>
      <c r="AN37" s="72">
        <f t="shared" si="24"/>
        <v>35038.00931315483</v>
      </c>
      <c r="AO37" s="72">
        <f t="shared" si="24"/>
        <v>35038.00931315483</v>
      </c>
      <c r="AP37" s="72">
        <f t="shared" si="24"/>
        <v>35038.00931315483</v>
      </c>
      <c r="AQ37" s="72">
        <f t="shared" si="24"/>
        <v>35038.00931315483</v>
      </c>
      <c r="AT37" s="73">
        <f>AT47/AT20*10^6</f>
        <v>28645.113358273702</v>
      </c>
      <c r="AU37" s="72">
        <v>31450</v>
      </c>
      <c r="AX37" s="66"/>
      <c r="BB37" s="75">
        <f>95.7/85.9</f>
        <v>1.1140861466821885</v>
      </c>
    </row>
    <row r="38" spans="1:50" s="71" customFormat="1" ht="12.75">
      <c r="A38" s="67" t="s">
        <v>176</v>
      </c>
      <c r="C38" s="71" t="s">
        <v>174</v>
      </c>
      <c r="H38" s="72"/>
      <c r="AG38" s="72">
        <f>EnergNa90!AG38*BB35</f>
        <v>4189.946808510639</v>
      </c>
      <c r="AT38" s="73">
        <f>AT48/AT21*10^6</f>
        <v>4189.946808510639</v>
      </c>
      <c r="AX38" s="66"/>
    </row>
    <row r="39" spans="1:50" s="71" customFormat="1" ht="12.75">
      <c r="A39" s="67"/>
      <c r="H39" s="72"/>
      <c r="AT39" s="73"/>
      <c r="AX39" s="66"/>
    </row>
    <row r="40" spans="2:51" ht="12.75">
      <c r="B40" s="24"/>
      <c r="C40" s="24"/>
      <c r="AT40" s="33"/>
      <c r="AX40" s="20"/>
      <c r="AY40" s="35"/>
    </row>
    <row r="41" spans="1:52" s="24" customFormat="1" ht="12.75">
      <c r="A41" s="24" t="s">
        <v>179</v>
      </c>
      <c r="B41" s="24">
        <v>2</v>
      </c>
      <c r="C41" s="24" t="str">
        <f>C31</f>
        <v>Elektrizität</v>
      </c>
      <c r="D41" s="27">
        <f aca="true" t="shared" si="25" ref="D41:M41">D13*D31*10^-6</f>
        <v>246.0266954544672</v>
      </c>
      <c r="E41" s="49">
        <f t="shared" si="25"/>
        <v>1613.72692</v>
      </c>
      <c r="F41" s="49">
        <f t="shared" si="25"/>
        <v>26.824776635056402</v>
      </c>
      <c r="G41" s="49">
        <f t="shared" si="25"/>
        <v>33.356350299999995</v>
      </c>
      <c r="H41" s="27">
        <f t="shared" si="25"/>
        <v>9.996698046808199</v>
      </c>
      <c r="I41" s="27">
        <f t="shared" si="25"/>
        <v>92.7782212167507</v>
      </c>
      <c r="J41" s="27">
        <f t="shared" si="25"/>
        <v>91.83456941818027</v>
      </c>
      <c r="K41" s="27">
        <f t="shared" si="25"/>
        <v>40.72623406426704</v>
      </c>
      <c r="L41" s="27">
        <f t="shared" si="25"/>
        <v>239.5188758149824</v>
      </c>
      <c r="M41" s="27">
        <f t="shared" si="25"/>
        <v>17.058719458380597</v>
      </c>
      <c r="N41" s="27">
        <f aca="true" t="shared" si="26" ref="N41:W41">N13*N31*10^-6</f>
        <v>15.013762477680618</v>
      </c>
      <c r="O41" s="27">
        <f t="shared" si="26"/>
        <v>131.85240569831936</v>
      </c>
      <c r="P41" s="27">
        <f t="shared" si="26"/>
        <v>245.70039945359997</v>
      </c>
      <c r="Q41" s="27">
        <f t="shared" si="26"/>
        <v>51.8551365696</v>
      </c>
      <c r="R41" s="27">
        <f t="shared" si="26"/>
        <v>2.9777354879999995</v>
      </c>
      <c r="S41" s="27">
        <f t="shared" si="26"/>
        <v>367.192007364</v>
      </c>
      <c r="T41" s="27">
        <f t="shared" si="26"/>
        <v>104.22074208</v>
      </c>
      <c r="U41" s="27">
        <f t="shared" si="26"/>
        <v>150.2905639872</v>
      </c>
      <c r="V41" s="27">
        <f t="shared" si="26"/>
        <v>611.760973679856</v>
      </c>
      <c r="W41" s="27">
        <f t="shared" si="26"/>
        <v>212.4051212811528</v>
      </c>
      <c r="X41" s="27">
        <f aca="true" t="shared" si="27" ref="X41:AG41">X13*X31*10^-6</f>
        <v>178.69928251091278</v>
      </c>
      <c r="Y41" s="27">
        <f t="shared" si="27"/>
        <v>211.98217782350702</v>
      </c>
      <c r="Z41" s="27">
        <f t="shared" si="27"/>
        <v>85.0942791107136</v>
      </c>
      <c r="AA41" s="27">
        <f t="shared" si="27"/>
        <v>84.31159064311619</v>
      </c>
      <c r="AB41" s="27">
        <f t="shared" si="27"/>
        <v>796.105984184784</v>
      </c>
      <c r="AC41" s="27">
        <f t="shared" si="27"/>
        <v>496.5015893427954</v>
      </c>
      <c r="AD41" s="27">
        <f t="shared" si="27"/>
        <v>428.242404414006</v>
      </c>
      <c r="AE41" s="27">
        <f t="shared" si="27"/>
        <v>71.49526954533599</v>
      </c>
      <c r="AF41" s="27">
        <f t="shared" si="27"/>
        <v>38.8913524272</v>
      </c>
      <c r="AG41" s="27">
        <f t="shared" si="27"/>
        <v>36.4606429005</v>
      </c>
      <c r="AH41" s="27">
        <f aca="true" t="shared" si="28" ref="AH41:AQ41">AH13*AH31*10^-6</f>
        <v>91.38863947662166</v>
      </c>
      <c r="AI41" s="27">
        <f t="shared" si="28"/>
        <v>175.9331792110777</v>
      </c>
      <c r="AJ41" s="27">
        <f t="shared" si="28"/>
        <v>82.53874902009349</v>
      </c>
      <c r="AK41" s="27">
        <f t="shared" si="28"/>
        <v>213.89154283458794</v>
      </c>
      <c r="AL41" s="27">
        <f t="shared" si="28"/>
        <v>395.7001184418873</v>
      </c>
      <c r="AM41" s="27">
        <f t="shared" si="28"/>
        <v>292.3074048428352</v>
      </c>
      <c r="AN41" s="27">
        <f t="shared" si="28"/>
        <v>203.6351213088192</v>
      </c>
      <c r="AO41" s="27">
        <f t="shared" si="28"/>
        <v>84.9387137010048</v>
      </c>
      <c r="AP41" s="27">
        <f t="shared" si="28"/>
        <v>239.14369749759376</v>
      </c>
      <c r="AQ41" s="27">
        <f t="shared" si="28"/>
        <v>42.85895970494051</v>
      </c>
      <c r="AR41" s="27"/>
      <c r="AS41" s="27"/>
      <c r="AT41" s="29">
        <f aca="true" t="shared" si="29" ref="AT41:AT48">SUM(D41:AS41)</f>
        <v>8555.237607430632</v>
      </c>
      <c r="AU41" s="27">
        <f>AU13*AU31*10^-6</f>
        <v>4251.2210383967995</v>
      </c>
      <c r="AV41" s="27"/>
      <c r="AW41" s="27">
        <f>Energber9095!F4</f>
        <v>1863</v>
      </c>
      <c r="AX41" s="65">
        <f>AY41-AW41-E41</f>
        <v>11192.73172582743</v>
      </c>
      <c r="AY41" s="58">
        <f>SUM(AT41:AW41)</f>
        <v>14669.458645827432</v>
      </c>
      <c r="AZ41" s="99">
        <f>Energber9095!F10</f>
        <v>1281</v>
      </c>
    </row>
    <row r="42" spans="1:52" ht="12.75">
      <c r="A42" s="24" t="s">
        <v>179</v>
      </c>
      <c r="B42" s="24">
        <f>B32</f>
        <v>3</v>
      </c>
      <c r="C42" s="24" t="str">
        <f>C32</f>
        <v>Gas</v>
      </c>
      <c r="D42" s="27">
        <f>D15*D32*10^-6</f>
        <v>4.749239525184001</v>
      </c>
      <c r="E42" s="49">
        <f>E15*E32*10^-6</f>
        <v>2.91593904</v>
      </c>
      <c r="F42" s="49">
        <f>F15*F32*10^-6+559/2</f>
        <v>288.18644040862654</v>
      </c>
      <c r="G42" s="49">
        <f aca="true" t="shared" si="30" ref="G42:P42">G15*G32*10^-6</f>
        <v>1.3348624149</v>
      </c>
      <c r="H42" s="27">
        <f t="shared" si="30"/>
        <v>0.2966360921999999</v>
      </c>
      <c r="I42" s="27">
        <f t="shared" si="30"/>
        <v>24.317441563944517</v>
      </c>
      <c r="J42" s="27">
        <f t="shared" si="30"/>
        <v>26.102897090267476</v>
      </c>
      <c r="K42" s="27">
        <f t="shared" si="30"/>
        <v>13.505165565483287</v>
      </c>
      <c r="L42" s="27">
        <f t="shared" si="30"/>
        <v>19.71146832669</v>
      </c>
      <c r="M42" s="27">
        <f t="shared" si="30"/>
        <v>3.8366529408900005</v>
      </c>
      <c r="N42" s="27">
        <f t="shared" si="30"/>
        <v>1.169994695216263</v>
      </c>
      <c r="O42" s="27">
        <f t="shared" si="30"/>
        <v>10.275013704783737</v>
      </c>
      <c r="P42" s="27">
        <f t="shared" si="30"/>
        <v>31.221794520000007</v>
      </c>
      <c r="Q42" s="27">
        <f aca="true" t="shared" si="31" ref="Q42:Z42">Q15*Q32*10^-6</f>
        <v>12.0572928</v>
      </c>
      <c r="R42" s="27">
        <f t="shared" si="31"/>
        <v>5.388102720000002</v>
      </c>
      <c r="S42" s="27">
        <f t="shared" si="31"/>
        <v>94.55994676800002</v>
      </c>
      <c r="T42" s="27">
        <f t="shared" si="31"/>
        <v>5.893237350000001</v>
      </c>
      <c r="U42" s="27">
        <f t="shared" si="31"/>
        <v>42.40147968000001</v>
      </c>
      <c r="V42" s="27">
        <f t="shared" si="31"/>
        <v>59.791788836010014</v>
      </c>
      <c r="W42" s="27">
        <f t="shared" si="31"/>
        <v>29.76169050855</v>
      </c>
      <c r="X42" s="27">
        <f t="shared" si="31"/>
        <v>41.0888832228</v>
      </c>
      <c r="Y42" s="27">
        <f t="shared" si="31"/>
        <v>8.1383547231</v>
      </c>
      <c r="Z42" s="27">
        <f t="shared" si="31"/>
        <v>4.742349912720001</v>
      </c>
      <c r="AA42" s="27">
        <f aca="true" t="shared" si="32" ref="AA42:AJ42">AA15*AA32*10^-6</f>
        <v>12.304098296385005</v>
      </c>
      <c r="AB42" s="27">
        <f t="shared" si="32"/>
        <v>40.26978485208001</v>
      </c>
      <c r="AC42" s="27">
        <f t="shared" si="32"/>
        <v>46.93396983418501</v>
      </c>
      <c r="AD42" s="27">
        <f t="shared" si="32"/>
        <v>10.047351509999999</v>
      </c>
      <c r="AE42" s="27">
        <f t="shared" si="32"/>
        <v>2.679293736</v>
      </c>
      <c r="AF42" s="27">
        <f t="shared" si="32"/>
        <v>1.3396468680000002</v>
      </c>
      <c r="AG42" s="27">
        <f t="shared" si="32"/>
        <v>30.142054530000003</v>
      </c>
      <c r="AH42" s="27">
        <f t="shared" si="32"/>
        <v>13.815018435199205</v>
      </c>
      <c r="AI42" s="27">
        <f t="shared" si="32"/>
        <v>11.101346535440184</v>
      </c>
      <c r="AJ42" s="27">
        <f t="shared" si="32"/>
        <v>3.5543902004798187</v>
      </c>
      <c r="AK42" s="27">
        <f aca="true" t="shared" si="33" ref="AK42:AQ42">AK15*AK32*10^-6</f>
        <v>32.33351130201404</v>
      </c>
      <c r="AL42" s="27">
        <f t="shared" si="33"/>
        <v>43.086548822608776</v>
      </c>
      <c r="AM42" s="27">
        <f t="shared" si="33"/>
        <v>42.922285650720006</v>
      </c>
      <c r="AN42" s="27">
        <f t="shared" si="33"/>
        <v>26.123113926000002</v>
      </c>
      <c r="AO42" s="27">
        <f t="shared" si="33"/>
        <v>22.827582630720002</v>
      </c>
      <c r="AP42" s="27">
        <f t="shared" si="33"/>
        <v>36.150823652825096</v>
      </c>
      <c r="AQ42" s="27">
        <f t="shared" si="33"/>
        <v>6.478894114499635</v>
      </c>
      <c r="AR42" s="27"/>
      <c r="AS42" s="27"/>
      <c r="AT42" s="29">
        <f t="shared" si="29"/>
        <v>1113.5563873065223</v>
      </c>
      <c r="AU42" s="27">
        <f>AU15*AU32*10^-6</f>
        <v>1013.150526729293</v>
      </c>
      <c r="AV42" s="27">
        <f>AV15*AV32</f>
        <v>-9.9306</v>
      </c>
      <c r="AW42" s="27">
        <f>Energber9095!G4</f>
        <v>0</v>
      </c>
      <c r="AX42" s="65">
        <f>AY42-AW42-F42</f>
        <v>1828.5898736271886</v>
      </c>
      <c r="AY42" s="58">
        <f>SUM(AT42:AW42)</f>
        <v>2116.776314035815</v>
      </c>
      <c r="AZ42" s="99">
        <f>Energber9095!G10</f>
        <v>457</v>
      </c>
    </row>
    <row r="43" spans="1:54" ht="12.75">
      <c r="A43" s="24" t="s">
        <v>179</v>
      </c>
      <c r="B43" s="24">
        <f>B33</f>
        <v>4</v>
      </c>
      <c r="C43" s="24" t="str">
        <f>C33</f>
        <v>Wasser</v>
      </c>
      <c r="D43" s="27">
        <f>EnergNa90!D43*$BB43</f>
        <v>30.101846153846157</v>
      </c>
      <c r="E43" s="49">
        <v>5</v>
      </c>
      <c r="F43" s="49">
        <v>3</v>
      </c>
      <c r="G43" s="49">
        <v>55</v>
      </c>
      <c r="H43" s="27">
        <f>EnergNa90!H43*$BB43</f>
        <v>0.72</v>
      </c>
      <c r="I43" s="27">
        <f>EnergNa90!I43*$BB43</f>
        <v>48.12</v>
      </c>
      <c r="J43" s="27">
        <f>EnergNa90!J43*$BB43</f>
        <v>10.92</v>
      </c>
      <c r="K43" s="27">
        <f>EnergNa90!K43*$BB43</f>
        <v>2.77948717948718</v>
      </c>
      <c r="L43" s="27">
        <f>EnergNa90!L43*$BB43</f>
        <v>7.921538461538462</v>
      </c>
      <c r="M43" s="27">
        <f>EnergNa90!M43*$BB43</f>
        <v>4.03025641025641</v>
      </c>
      <c r="N43" s="27">
        <f>EnergNa90!N43*$BB43</f>
        <v>0.555897435897436</v>
      </c>
      <c r="O43" s="27">
        <f>EnergNa90!O43*$BB43</f>
        <v>1.8066666666666669</v>
      </c>
      <c r="P43" s="27">
        <f>EnergNa90!P43*$BB43</f>
        <v>5.836923076923077</v>
      </c>
      <c r="Q43" s="27">
        <f>EnergNa90!Q43*$BB43</f>
        <v>5.142051282051283</v>
      </c>
      <c r="R43" s="27">
        <f>EnergNa90!R43*$BB43</f>
        <v>0.555897435897436</v>
      </c>
      <c r="S43" s="27">
        <f>EnergNa90!S43*$BB43</f>
        <v>17.927692307692308</v>
      </c>
      <c r="T43" s="27">
        <f>EnergNa90!T43*$BB43</f>
        <v>1.38974358974359</v>
      </c>
      <c r="U43" s="27">
        <f>EnergNa90!U43*$BB43</f>
        <v>4.1692307692307695</v>
      </c>
      <c r="V43" s="27">
        <f>EnergNa90!V43*$BB43</f>
        <v>15.287179487179488</v>
      </c>
      <c r="W43" s="27">
        <f>EnergNa90!W43*$BB43</f>
        <v>21.818974358974362</v>
      </c>
      <c r="X43" s="27">
        <f>EnergNa90!X43*$BB43</f>
        <v>19.45641025641026</v>
      </c>
      <c r="Y43" s="27">
        <f>EnergNa90!Y43*$BB43</f>
        <v>20.42923076923077</v>
      </c>
      <c r="Z43" s="27">
        <f>EnergNa90!Z43*$BB43</f>
        <v>4.725128205128205</v>
      </c>
      <c r="AA43" s="27">
        <f>EnergNa90!AA43*$BB43</f>
        <v>16.26</v>
      </c>
      <c r="AB43" s="27">
        <f>EnergNa90!AB43*$BB43</f>
        <v>32.24205128205128</v>
      </c>
      <c r="AC43" s="27">
        <f>EnergNa90!AC43*$BB43</f>
        <v>83.75999999999999</v>
      </c>
      <c r="AD43" s="27">
        <f>EnergNa90!AD43*$BB43</f>
        <v>2.77948717948718</v>
      </c>
      <c r="AE43" s="27">
        <f>EnergNa90!AE43*$BB43</f>
        <v>3.7523076923076926</v>
      </c>
      <c r="AF43" s="27">
        <f>EnergNa90!AF43*$BB43</f>
        <v>2.77948717948718</v>
      </c>
      <c r="AG43" s="27">
        <f>EnergNa90!AG43*$BB43</f>
        <v>4.1692307692307695</v>
      </c>
      <c r="AH43" s="27">
        <f>EnergNa90!AH43*$BB43</f>
        <v>2.77948717948718</v>
      </c>
      <c r="AI43" s="27">
        <f>EnergNa90!AI43*$BB43</f>
        <v>5.42</v>
      </c>
      <c r="AJ43" s="27">
        <f>EnergNa90!AJ43*$BB43</f>
        <v>2.77948717948718</v>
      </c>
      <c r="AK43" s="27">
        <f>EnergNa90!AK43*$BB43</f>
        <v>4.1692307692307695</v>
      </c>
      <c r="AL43" s="27">
        <f>EnergNa90!AL43*$BB43</f>
        <v>4.44</v>
      </c>
      <c r="AM43" s="27">
        <f>EnergNa90!AM43*$BB43</f>
        <v>4.686354358974359</v>
      </c>
      <c r="AN43" s="27">
        <f>EnergNa90!AN43*$BB43</f>
        <v>69.6</v>
      </c>
      <c r="AO43" s="27">
        <f>EnergNa90!AO43*$BB43</f>
        <v>6.809743589743591</v>
      </c>
      <c r="AP43" s="27">
        <f>EnergNa90!AP43*$BB43</f>
        <v>15.825955282051282</v>
      </c>
      <c r="AQ43" s="27">
        <f>EnergNa90!AQ43*$BB43</f>
        <v>1.44</v>
      </c>
      <c r="AR43" s="27"/>
      <c r="AS43" s="27"/>
      <c r="AT43" s="29">
        <f t="shared" si="29"/>
        <v>550.3869763076923</v>
      </c>
      <c r="AU43" s="27">
        <f>AU16*AU33</f>
        <v>1242.0610564828125</v>
      </c>
      <c r="AV43" s="27"/>
      <c r="AW43" s="27">
        <v>0</v>
      </c>
      <c r="AX43" s="65">
        <f>AY43-AW43-G43</f>
        <v>1737.4480327905048</v>
      </c>
      <c r="AY43" s="58">
        <f>SUM(AT43:AW43)</f>
        <v>1792.4480327905048</v>
      </c>
      <c r="AZ43" s="27">
        <v>0</v>
      </c>
      <c r="BB43" s="19">
        <v>1.2</v>
      </c>
    </row>
    <row r="44" spans="1:52" s="71" customFormat="1" ht="12.75">
      <c r="A44" s="71" t="s">
        <v>179</v>
      </c>
      <c r="B44" s="71">
        <v>5</v>
      </c>
      <c r="C44" s="71" t="s">
        <v>180</v>
      </c>
      <c r="D44" s="78">
        <f aca="true" t="shared" si="34" ref="D44:M44">SUM(D45:D48)</f>
        <v>95.4551944333582</v>
      </c>
      <c r="E44" s="78">
        <f t="shared" si="34"/>
        <v>15.808312330379216</v>
      </c>
      <c r="F44" s="78">
        <f t="shared" si="34"/>
        <v>2.2235117956176884</v>
      </c>
      <c r="G44" s="78">
        <f t="shared" si="34"/>
        <v>0.7352143479113208</v>
      </c>
      <c r="H44" s="78">
        <f t="shared" si="34"/>
        <v>1135.8423</v>
      </c>
      <c r="I44" s="78">
        <f t="shared" si="34"/>
        <v>138.89932861465172</v>
      </c>
      <c r="J44" s="78">
        <f t="shared" si="34"/>
        <v>13.331366205692193</v>
      </c>
      <c r="K44" s="78">
        <f t="shared" si="34"/>
        <v>3.070945981037974</v>
      </c>
      <c r="L44" s="78">
        <f t="shared" si="34"/>
        <v>70.8607927151483</v>
      </c>
      <c r="M44" s="78">
        <f t="shared" si="34"/>
        <v>13.785278149146762</v>
      </c>
      <c r="N44" s="78">
        <f aca="true" t="shared" si="35" ref="N44:W44">SUM(N45:N48)</f>
        <v>22.28467328865288</v>
      </c>
      <c r="O44" s="78">
        <f t="shared" si="35"/>
        <v>59.79448093335064</v>
      </c>
      <c r="P44" s="78">
        <f t="shared" si="35"/>
        <v>58.31059951241008</v>
      </c>
      <c r="Q44" s="78">
        <f t="shared" si="35"/>
        <v>51.16634176703562</v>
      </c>
      <c r="R44" s="78">
        <f t="shared" si="35"/>
        <v>6.162605867594721</v>
      </c>
      <c r="S44" s="78">
        <f t="shared" si="35"/>
        <v>94.91706786226953</v>
      </c>
      <c r="T44" s="78">
        <f t="shared" si="35"/>
        <v>22.19115022599626</v>
      </c>
      <c r="U44" s="78">
        <f t="shared" si="35"/>
        <v>130.60531536121712</v>
      </c>
      <c r="V44" s="78">
        <f t="shared" si="35"/>
        <v>137.04652436611735</v>
      </c>
      <c r="W44" s="78">
        <f t="shared" si="35"/>
        <v>223.02895025263572</v>
      </c>
      <c r="X44" s="78">
        <f aca="true" t="shared" si="36" ref="X44:AG44">SUM(X45:X48)</f>
        <v>171.48787349412032</v>
      </c>
      <c r="Y44" s="78">
        <f t="shared" si="36"/>
        <v>113.81475295529273</v>
      </c>
      <c r="Z44" s="78">
        <f t="shared" si="36"/>
        <v>157.12808484620697</v>
      </c>
      <c r="AA44" s="78">
        <f t="shared" si="36"/>
        <v>129.3904349222837</v>
      </c>
      <c r="AB44" s="78">
        <f t="shared" si="36"/>
        <v>364.5778734039177</v>
      </c>
      <c r="AC44" s="78">
        <f t="shared" si="36"/>
        <v>90.61193106988557</v>
      </c>
      <c r="AD44" s="78">
        <f t="shared" si="36"/>
        <v>21.331647584512986</v>
      </c>
      <c r="AE44" s="78">
        <f t="shared" si="36"/>
        <v>18.473354579690874</v>
      </c>
      <c r="AF44" s="78">
        <f t="shared" si="36"/>
        <v>640.7714277201865</v>
      </c>
      <c r="AG44" s="78">
        <f t="shared" si="36"/>
        <v>199.23061189493524</v>
      </c>
      <c r="AH44" s="78">
        <f aca="true" t="shared" si="37" ref="AH44:AQ44">SUM(AH45:AH48)</f>
        <v>54.330887009930315</v>
      </c>
      <c r="AI44" s="78">
        <f t="shared" si="37"/>
        <v>98.3307162307335</v>
      </c>
      <c r="AJ44" s="78">
        <f t="shared" si="37"/>
        <v>36.84853508879971</v>
      </c>
      <c r="AK44" s="78">
        <f t="shared" si="37"/>
        <v>16.86854114049143</v>
      </c>
      <c r="AL44" s="78">
        <f t="shared" si="37"/>
        <v>226.3718891049076</v>
      </c>
      <c r="AM44" s="78">
        <f t="shared" si="37"/>
        <v>47.19483370863983</v>
      </c>
      <c r="AN44" s="78">
        <f t="shared" si="37"/>
        <v>57.98965730098768</v>
      </c>
      <c r="AO44" s="78">
        <f t="shared" si="37"/>
        <v>110.26496228460464</v>
      </c>
      <c r="AP44" s="78">
        <f t="shared" si="37"/>
        <v>336.47961448371586</v>
      </c>
      <c r="AQ44" s="78">
        <f t="shared" si="37"/>
        <v>9.168241926533245</v>
      </c>
      <c r="AR44" s="78"/>
      <c r="AS44" s="78"/>
      <c r="AT44" s="79">
        <f t="shared" si="29"/>
        <v>5196.185824760599</v>
      </c>
      <c r="AU44" s="78">
        <f>SUM(AU45:AU47)</f>
        <v>4512.56472</v>
      </c>
      <c r="AV44" s="78">
        <f>-3+AV17*AV34*10^-6</f>
        <v>177.786024</v>
      </c>
      <c r="AW44" s="78">
        <f>157.7</f>
        <v>157.7</v>
      </c>
      <c r="AX44" s="79">
        <f>AY44-H44-AW44</f>
        <v>8750.694268760599</v>
      </c>
      <c r="AY44" s="78">
        <f>SUM(AT44:AW44)</f>
        <v>10044.2365687606</v>
      </c>
      <c r="AZ44" s="27">
        <v>7072.8</v>
      </c>
    </row>
    <row r="45" spans="1:50" s="71" customFormat="1" ht="12.75">
      <c r="A45" s="71" t="s">
        <v>179</v>
      </c>
      <c r="C45" s="71" t="s">
        <v>168</v>
      </c>
      <c r="D45" s="78">
        <f aca="true" t="shared" si="38" ref="D45:M47">D18*D35*10^-6</f>
        <v>22.277118593894546</v>
      </c>
      <c r="E45" s="78">
        <f t="shared" si="38"/>
        <v>0.7685605914893618</v>
      </c>
      <c r="F45" s="78">
        <f t="shared" si="38"/>
        <v>0.11138559296947272</v>
      </c>
      <c r="G45" s="78">
        <f t="shared" si="38"/>
        <v>0.038984957539315454</v>
      </c>
      <c r="H45" s="78">
        <f t="shared" si="38"/>
        <v>1135.8423</v>
      </c>
      <c r="I45" s="78">
        <f t="shared" si="38"/>
        <v>14.359355336413044</v>
      </c>
      <c r="J45" s="78">
        <f t="shared" si="38"/>
        <v>1.124425901204903</v>
      </c>
      <c r="K45" s="78">
        <f t="shared" si="38"/>
        <v>0.42326525328399633</v>
      </c>
      <c r="L45" s="78">
        <f t="shared" si="38"/>
        <v>7.482532969287696</v>
      </c>
      <c r="M45" s="78">
        <f t="shared" si="38"/>
        <v>0.67388283746531</v>
      </c>
      <c r="N45" s="78">
        <f aca="true" t="shared" si="39" ref="N45:W47">N18*N35*10^-6</f>
        <v>0.7072985153561517</v>
      </c>
      <c r="O45" s="78">
        <f t="shared" si="39"/>
        <v>4.132405499167438</v>
      </c>
      <c r="P45" s="78">
        <f t="shared" si="39"/>
        <v>32.539133630897325</v>
      </c>
      <c r="Q45" s="78">
        <f t="shared" si="39"/>
        <v>4.661487065772434</v>
      </c>
      <c r="R45" s="78">
        <f t="shared" si="39"/>
        <v>0.6035506180932863</v>
      </c>
      <c r="S45" s="78">
        <f t="shared" si="39"/>
        <v>28.13623034609221</v>
      </c>
      <c r="T45" s="78">
        <f t="shared" si="39"/>
        <v>2.0240878568819616</v>
      </c>
      <c r="U45" s="78">
        <f t="shared" si="39"/>
        <v>101.71285985239989</v>
      </c>
      <c r="V45" s="78">
        <f t="shared" si="39"/>
        <v>17.70995827349521</v>
      </c>
      <c r="W45" s="78">
        <f t="shared" si="39"/>
        <v>31.136894008678727</v>
      </c>
      <c r="X45" s="78">
        <f aca="true" t="shared" si="40" ref="X45:AG47">X18*X35*10^-6</f>
        <v>7.421655475233857</v>
      </c>
      <c r="Y45" s="78">
        <f t="shared" si="40"/>
        <v>15.451643366470492</v>
      </c>
      <c r="Z45" s="78">
        <f t="shared" si="40"/>
        <v>5.463931154643108</v>
      </c>
      <c r="AA45" s="78">
        <f t="shared" si="40"/>
        <v>16.618535546257636</v>
      </c>
      <c r="AB45" s="78">
        <f t="shared" si="40"/>
        <v>63.81407043869114</v>
      </c>
      <c r="AC45" s="78">
        <f t="shared" si="40"/>
        <v>61.535589026026194</v>
      </c>
      <c r="AD45" s="78">
        <f t="shared" si="40"/>
        <v>3.8048427473628124</v>
      </c>
      <c r="AE45" s="78">
        <f t="shared" si="40"/>
        <v>0.5530294690934321</v>
      </c>
      <c r="AF45" s="78">
        <f t="shared" si="40"/>
        <v>5.320143492678816</v>
      </c>
      <c r="AG45" s="78">
        <f t="shared" si="40"/>
        <v>1.6590884072802963</v>
      </c>
      <c r="AH45" s="78">
        <f aca="true" t="shared" si="41" ref="AH45:AQ47">AH18*AH35*10^-6</f>
        <v>5.076810526277706</v>
      </c>
      <c r="AI45" s="78">
        <f t="shared" si="41"/>
        <v>7.814306398290195</v>
      </c>
      <c r="AJ45" s="78">
        <f t="shared" si="41"/>
        <v>2.2176481710646625</v>
      </c>
      <c r="AK45" s="78">
        <f t="shared" si="41"/>
        <v>2.6987838091759486</v>
      </c>
      <c r="AL45" s="78">
        <f t="shared" si="41"/>
        <v>36.157066689328595</v>
      </c>
      <c r="AM45" s="78">
        <f t="shared" si="41"/>
        <v>16.928232048949955</v>
      </c>
      <c r="AN45" s="78">
        <f t="shared" si="41"/>
        <v>12.929828987404443</v>
      </c>
      <c r="AO45" s="78">
        <f t="shared" si="41"/>
        <v>6.542338619375301</v>
      </c>
      <c r="AP45" s="78">
        <f t="shared" si="41"/>
        <v>45.82955210377271</v>
      </c>
      <c r="AQ45" s="78">
        <f t="shared" si="41"/>
        <v>0.5530294690934321</v>
      </c>
      <c r="AR45" s="78"/>
      <c r="AS45" s="78"/>
      <c r="AT45" s="79">
        <f t="shared" si="29"/>
        <v>1724.8558436468527</v>
      </c>
      <c r="AU45" s="78">
        <f>AU18*AU35*10^-6</f>
        <v>1403.5647199999999</v>
      </c>
      <c r="AX45" s="66"/>
    </row>
    <row r="46" spans="1:53" s="71" customFormat="1" ht="12.75">
      <c r="A46" s="71" t="s">
        <v>179</v>
      </c>
      <c r="C46" s="71" t="s">
        <v>170</v>
      </c>
      <c r="D46" s="78">
        <f t="shared" si="38"/>
        <v>42.38110333466822</v>
      </c>
      <c r="E46" s="78">
        <f t="shared" si="38"/>
        <v>14.849905683218628</v>
      </c>
      <c r="F46" s="78">
        <f t="shared" si="38"/>
        <v>2.0971240850346913</v>
      </c>
      <c r="G46" s="78">
        <f t="shared" si="38"/>
        <v>0.6801483519031432</v>
      </c>
      <c r="H46" s="78">
        <f t="shared" si="38"/>
        <v>0</v>
      </c>
      <c r="I46" s="78">
        <f t="shared" si="38"/>
        <v>78.6138136741383</v>
      </c>
      <c r="J46" s="78">
        <f t="shared" si="38"/>
        <v>11.902596158305006</v>
      </c>
      <c r="K46" s="78">
        <f t="shared" si="38"/>
        <v>2.493877290311525</v>
      </c>
      <c r="L46" s="78">
        <f t="shared" si="38"/>
        <v>61.38338875925867</v>
      </c>
      <c r="M46" s="78">
        <f t="shared" si="38"/>
        <v>12.979497715484982</v>
      </c>
      <c r="N46" s="78">
        <f t="shared" si="39"/>
        <v>6.8581625483566935</v>
      </c>
      <c r="O46" s="78">
        <f t="shared" si="39"/>
        <v>39.84535761565915</v>
      </c>
      <c r="P46" s="78">
        <f t="shared" si="39"/>
        <v>24.08858746323632</v>
      </c>
      <c r="Q46" s="78">
        <f t="shared" si="39"/>
        <v>44.94647025493271</v>
      </c>
      <c r="R46" s="78">
        <f t="shared" si="39"/>
        <v>4.477643316695692</v>
      </c>
      <c r="S46" s="78">
        <f t="shared" si="39"/>
        <v>52.881534360469374</v>
      </c>
      <c r="T46" s="78">
        <f t="shared" si="39"/>
        <v>17.287103944204894</v>
      </c>
      <c r="U46" s="78">
        <f t="shared" si="39"/>
        <v>25.165489020416295</v>
      </c>
      <c r="V46" s="78">
        <f t="shared" si="39"/>
        <v>74.872997738671</v>
      </c>
      <c r="W46" s="78">
        <f t="shared" si="39"/>
        <v>148.95248906678836</v>
      </c>
      <c r="X46" s="78">
        <f t="shared" si="40"/>
        <v>144.0214135154906</v>
      </c>
      <c r="Y46" s="78">
        <f t="shared" si="40"/>
        <v>0</v>
      </c>
      <c r="Z46" s="78">
        <f t="shared" si="40"/>
        <v>106.04646386756508</v>
      </c>
      <c r="AA46" s="78">
        <f t="shared" si="40"/>
        <v>0</v>
      </c>
      <c r="AB46" s="78">
        <f t="shared" si="40"/>
        <v>225.58253671454253</v>
      </c>
      <c r="AC46" s="78">
        <f t="shared" si="40"/>
        <v>29.076342043859373</v>
      </c>
      <c r="AD46" s="78">
        <f t="shared" si="40"/>
        <v>0.28339514662630966</v>
      </c>
      <c r="AE46" s="78">
        <f t="shared" si="40"/>
        <v>0.519376266356228</v>
      </c>
      <c r="AF46" s="78">
        <f t="shared" si="40"/>
        <v>6.801483519031432</v>
      </c>
      <c r="AG46" s="78">
        <f t="shared" si="40"/>
        <v>2.3238402023357394</v>
      </c>
      <c r="AH46" s="78">
        <f t="shared" si="41"/>
        <v>49.25407648365261</v>
      </c>
      <c r="AI46" s="78">
        <f t="shared" si="41"/>
        <v>90.5164098324433</v>
      </c>
      <c r="AJ46" s="78">
        <f t="shared" si="41"/>
        <v>34.63088691773505</v>
      </c>
      <c r="AK46" s="78">
        <f t="shared" si="41"/>
        <v>14.16975733131548</v>
      </c>
      <c r="AL46" s="78">
        <f t="shared" si="41"/>
        <v>190.21482241557902</v>
      </c>
      <c r="AM46" s="78">
        <f t="shared" si="41"/>
        <v>30.266601659689872</v>
      </c>
      <c r="AN46" s="78">
        <f t="shared" si="41"/>
        <v>45.05982831358324</v>
      </c>
      <c r="AO46" s="78">
        <f t="shared" si="41"/>
        <v>103.72262366522934</v>
      </c>
      <c r="AP46" s="78">
        <f t="shared" si="41"/>
        <v>290.65006237994317</v>
      </c>
      <c r="AQ46" s="78">
        <f t="shared" si="41"/>
        <v>8.615212457439814</v>
      </c>
      <c r="AR46" s="78"/>
      <c r="AS46" s="78"/>
      <c r="AT46" s="79">
        <f t="shared" si="29"/>
        <v>2038.512423114172</v>
      </c>
      <c r="AU46" s="78">
        <v>2965</v>
      </c>
      <c r="AX46" s="66"/>
      <c r="BA46" s="72" t="s">
        <v>181</v>
      </c>
    </row>
    <row r="47" spans="1:55" s="71" customFormat="1" ht="12.75">
      <c r="A47" s="71" t="s">
        <v>179</v>
      </c>
      <c r="C47" s="67" t="s">
        <v>172</v>
      </c>
      <c r="D47" s="78">
        <f t="shared" si="38"/>
        <v>30.79697250479543</v>
      </c>
      <c r="E47" s="78">
        <f t="shared" si="38"/>
        <v>0.18984605567122687</v>
      </c>
      <c r="F47" s="78">
        <f t="shared" si="38"/>
        <v>0.015002117613524069</v>
      </c>
      <c r="G47" s="78">
        <f t="shared" si="38"/>
        <v>0.01608103846886226</v>
      </c>
      <c r="H47" s="78">
        <f t="shared" si="38"/>
        <v>0</v>
      </c>
      <c r="I47" s="78">
        <f t="shared" si="38"/>
        <v>45.92615960410038</v>
      </c>
      <c r="J47" s="78">
        <f t="shared" si="38"/>
        <v>0.30434414618228367</v>
      </c>
      <c r="K47" s="78">
        <f t="shared" si="38"/>
        <v>0.15380343744245267</v>
      </c>
      <c r="L47" s="78">
        <f t="shared" si="38"/>
        <v>1.9948709866019392</v>
      </c>
      <c r="M47" s="78">
        <f t="shared" si="38"/>
        <v>0.13189759619647073</v>
      </c>
      <c r="N47" s="78">
        <f t="shared" si="39"/>
        <v>14.719212224940033</v>
      </c>
      <c r="O47" s="78">
        <f t="shared" si="39"/>
        <v>15.816717818524053</v>
      </c>
      <c r="P47" s="78">
        <f t="shared" si="39"/>
        <v>1.6828784182764278</v>
      </c>
      <c r="Q47" s="78">
        <f t="shared" si="39"/>
        <v>1.5583844463304737</v>
      </c>
      <c r="R47" s="78">
        <f t="shared" si="39"/>
        <v>1.0814119328057425</v>
      </c>
      <c r="S47" s="78">
        <f t="shared" si="39"/>
        <v>13.89930315570796</v>
      </c>
      <c r="T47" s="78">
        <f t="shared" si="39"/>
        <v>2.879958424909405</v>
      </c>
      <c r="U47" s="78">
        <f t="shared" si="39"/>
        <v>3.7269664884009317</v>
      </c>
      <c r="V47" s="78">
        <f t="shared" si="39"/>
        <v>44.46356835395114</v>
      </c>
      <c r="W47" s="78">
        <f t="shared" si="39"/>
        <v>42.93956717716864</v>
      </c>
      <c r="X47" s="78">
        <f t="shared" si="40"/>
        <v>20.04480450339589</v>
      </c>
      <c r="Y47" s="78">
        <f t="shared" si="40"/>
        <v>98.36310958882224</v>
      </c>
      <c r="Z47" s="78">
        <f t="shared" si="40"/>
        <v>45.617689823998795</v>
      </c>
      <c r="AA47" s="78">
        <f t="shared" si="40"/>
        <v>112.77189937602607</v>
      </c>
      <c r="AB47" s="78">
        <f t="shared" si="40"/>
        <v>75.18126625068405</v>
      </c>
      <c r="AC47" s="78">
        <f t="shared" si="40"/>
        <v>0</v>
      </c>
      <c r="AD47" s="78">
        <f t="shared" si="40"/>
        <v>17.243409690523862</v>
      </c>
      <c r="AE47" s="78">
        <f t="shared" si="40"/>
        <v>17.400948844241213</v>
      </c>
      <c r="AF47" s="78">
        <f t="shared" si="40"/>
        <v>628.6498007084762</v>
      </c>
      <c r="AG47" s="78">
        <f t="shared" si="40"/>
        <v>0</v>
      </c>
      <c r="AH47" s="78">
        <f t="shared" si="41"/>
        <v>0</v>
      </c>
      <c r="AI47" s="78">
        <f t="shared" si="41"/>
        <v>0</v>
      </c>
      <c r="AJ47" s="78">
        <f t="shared" si="41"/>
        <v>0</v>
      </c>
      <c r="AK47" s="78">
        <f t="shared" si="41"/>
        <v>0</v>
      </c>
      <c r="AL47" s="78">
        <f t="shared" si="41"/>
        <v>0</v>
      </c>
      <c r="AM47" s="78">
        <f t="shared" si="41"/>
        <v>0</v>
      </c>
      <c r="AN47" s="78">
        <f t="shared" si="41"/>
        <v>0</v>
      </c>
      <c r="AO47" s="78">
        <f t="shared" si="41"/>
        <v>0</v>
      </c>
      <c r="AP47" s="78">
        <f t="shared" si="41"/>
        <v>0</v>
      </c>
      <c r="AQ47" s="78">
        <f t="shared" si="41"/>
        <v>0</v>
      </c>
      <c r="AR47" s="78"/>
      <c r="AS47" s="78"/>
      <c r="AT47" s="79">
        <f t="shared" si="29"/>
        <v>1237.5698747142555</v>
      </c>
      <c r="AU47" s="78">
        <v>144</v>
      </c>
      <c r="AV47" s="72"/>
      <c r="AW47" s="72"/>
      <c r="AX47" s="72"/>
      <c r="AY47" s="72"/>
      <c r="AZ47" s="72"/>
      <c r="BA47" s="72" t="s">
        <v>181</v>
      </c>
      <c r="BB47" s="72"/>
      <c r="BC47" s="72"/>
    </row>
    <row r="48" spans="1:55" s="71" customFormat="1" ht="12.75">
      <c r="A48" s="71" t="s">
        <v>179</v>
      </c>
      <c r="C48" s="71" t="s">
        <v>174</v>
      </c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>
        <f>AG21*AG38*10^-6</f>
        <v>195.2476832853192</v>
      </c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9">
        <f t="shared" si="29"/>
        <v>195.2476832853192</v>
      </c>
      <c r="AU48" s="78"/>
      <c r="AV48" s="80"/>
      <c r="AW48" s="72"/>
      <c r="AX48" s="72"/>
      <c r="AY48" s="72"/>
      <c r="AZ48" s="72"/>
      <c r="BA48" s="72"/>
      <c r="BB48" s="72"/>
      <c r="BC48" s="72"/>
    </row>
    <row r="49" spans="4:55" s="71" customFormat="1" ht="12.75"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9"/>
      <c r="AU49" s="78"/>
      <c r="AV49" s="80"/>
      <c r="AW49" s="72"/>
      <c r="AX49" s="72"/>
      <c r="AY49" s="72"/>
      <c r="AZ49" s="72"/>
      <c r="BA49" s="72"/>
      <c r="BB49" s="72"/>
      <c r="BC49" s="72"/>
    </row>
    <row r="50" spans="1:55" s="71" customFormat="1" ht="12.75">
      <c r="A50" s="71" t="s">
        <v>179</v>
      </c>
      <c r="C50" s="67" t="s">
        <v>175</v>
      </c>
      <c r="D50" s="78">
        <f aca="true" t="shared" si="42" ref="D50:M50">D26*D37*10^-6</f>
        <v>30.375544676063495</v>
      </c>
      <c r="E50" s="78">
        <f t="shared" si="42"/>
        <v>0</v>
      </c>
      <c r="F50" s="78">
        <f t="shared" si="42"/>
        <v>0</v>
      </c>
      <c r="G50" s="78">
        <f t="shared" si="42"/>
        <v>0</v>
      </c>
      <c r="H50" s="78">
        <f t="shared" si="42"/>
        <v>80.5045608</v>
      </c>
      <c r="I50" s="78">
        <f t="shared" si="42"/>
        <v>0</v>
      </c>
      <c r="J50" s="78">
        <f t="shared" si="42"/>
        <v>0</v>
      </c>
      <c r="K50" s="78">
        <f t="shared" si="42"/>
        <v>0</v>
      </c>
      <c r="L50" s="78">
        <f t="shared" si="42"/>
        <v>0.40817879329452844</v>
      </c>
      <c r="M50" s="78">
        <f t="shared" si="42"/>
        <v>0</v>
      </c>
      <c r="N50" s="78">
        <f aca="true" t="shared" si="43" ref="N50:W50">N26*N37*10^-6</f>
        <v>0</v>
      </c>
      <c r="O50" s="78">
        <f t="shared" si="43"/>
        <v>0</v>
      </c>
      <c r="P50" s="78">
        <f t="shared" si="43"/>
        <v>1.5420087746682185</v>
      </c>
      <c r="Q50" s="78">
        <f t="shared" si="43"/>
        <v>0</v>
      </c>
      <c r="R50" s="78">
        <f t="shared" si="43"/>
        <v>0</v>
      </c>
      <c r="S50" s="78">
        <f t="shared" si="43"/>
        <v>2.74386855492433</v>
      </c>
      <c r="T50" s="78">
        <f t="shared" si="43"/>
        <v>0</v>
      </c>
      <c r="U50" s="78">
        <f t="shared" si="43"/>
        <v>1.1338299813736903</v>
      </c>
      <c r="V50" s="78">
        <f t="shared" si="43"/>
        <v>5.283647713201396</v>
      </c>
      <c r="W50" s="78">
        <f t="shared" si="43"/>
        <v>0</v>
      </c>
      <c r="X50" s="78">
        <f aca="true" t="shared" si="44" ref="X50:AG50">X26*X37*10^-6</f>
        <v>0</v>
      </c>
      <c r="Y50" s="78">
        <f t="shared" si="44"/>
        <v>97.01710222738812</v>
      </c>
      <c r="Z50" s="78">
        <f t="shared" si="44"/>
        <v>44.994538368044694</v>
      </c>
      <c r="AA50" s="78">
        <f t="shared" si="44"/>
        <v>56.69149906868451</v>
      </c>
      <c r="AB50" s="78">
        <f t="shared" si="44"/>
        <v>10.000380435715948</v>
      </c>
      <c r="AC50" s="78">
        <f t="shared" si="44"/>
        <v>0</v>
      </c>
      <c r="AD50" s="78">
        <f t="shared" si="44"/>
        <v>17.00744972060535</v>
      </c>
      <c r="AE50" s="78">
        <f t="shared" si="44"/>
        <v>17.162833098020954</v>
      </c>
      <c r="AF50" s="78">
        <f t="shared" si="44"/>
        <v>957.2699766741791</v>
      </c>
      <c r="AG50" s="78">
        <f t="shared" si="44"/>
        <v>0</v>
      </c>
      <c r="AH50" s="78">
        <f aca="true" t="shared" si="45" ref="AH50:AQ50">AH26*AH37*10^-6</f>
        <v>0</v>
      </c>
      <c r="AI50" s="78">
        <f t="shared" si="45"/>
        <v>0</v>
      </c>
      <c r="AJ50" s="78">
        <f t="shared" si="45"/>
        <v>0</v>
      </c>
      <c r="AK50" s="78">
        <f t="shared" si="45"/>
        <v>0</v>
      </c>
      <c r="AL50" s="78">
        <f t="shared" si="45"/>
        <v>0</v>
      </c>
      <c r="AM50" s="78">
        <f t="shared" si="45"/>
        <v>0</v>
      </c>
      <c r="AN50" s="78">
        <f t="shared" si="45"/>
        <v>0</v>
      </c>
      <c r="AO50" s="78">
        <f t="shared" si="45"/>
        <v>0</v>
      </c>
      <c r="AP50" s="78">
        <f t="shared" si="45"/>
        <v>0</v>
      </c>
      <c r="AQ50" s="78">
        <f t="shared" si="45"/>
        <v>0</v>
      </c>
      <c r="AR50" s="78"/>
      <c r="AS50" s="78"/>
      <c r="AT50" s="79">
        <f>SUM(D50:AS50)</f>
        <v>1322.1354188861642</v>
      </c>
      <c r="AU50" s="78">
        <v>144</v>
      </c>
      <c r="AV50" s="80"/>
      <c r="AW50" s="72"/>
      <c r="AX50" s="72"/>
      <c r="AY50" s="72"/>
      <c r="AZ50" s="72"/>
      <c r="BA50" s="72"/>
      <c r="BB50" s="72"/>
      <c r="BC50" s="72"/>
    </row>
    <row r="51" spans="4:55" s="71" customFormat="1" ht="12.75"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9"/>
      <c r="AU51" s="78"/>
      <c r="AV51" s="80"/>
      <c r="AW51" s="72"/>
      <c r="AX51" s="72"/>
      <c r="AY51" s="72"/>
      <c r="AZ51" s="72"/>
      <c r="BA51" s="72"/>
      <c r="BB51" s="72"/>
      <c r="BC51" s="72"/>
    </row>
    <row r="52" spans="1:55" s="71" customFormat="1" ht="12.75">
      <c r="A52" s="71" t="s">
        <v>179</v>
      </c>
      <c r="B52" s="71">
        <v>5</v>
      </c>
      <c r="C52" s="71" t="s">
        <v>182</v>
      </c>
      <c r="D52" s="78">
        <f aca="true" t="shared" si="46" ref="D52:M52">D45+D46+D50+D48</f>
        <v>95.03376660462627</v>
      </c>
      <c r="E52" s="78">
        <f t="shared" si="46"/>
        <v>15.61846627470799</v>
      </c>
      <c r="F52" s="78">
        <f t="shared" si="46"/>
        <v>2.208509678004164</v>
      </c>
      <c r="G52" s="78">
        <f t="shared" si="46"/>
        <v>0.7191333094424586</v>
      </c>
      <c r="H52" s="78">
        <f t="shared" si="46"/>
        <v>1216.3468608</v>
      </c>
      <c r="I52" s="78">
        <f t="shared" si="46"/>
        <v>92.97316901055135</v>
      </c>
      <c r="J52" s="78">
        <f t="shared" si="46"/>
        <v>13.027022059509909</v>
      </c>
      <c r="K52" s="78">
        <f t="shared" si="46"/>
        <v>2.917142543595521</v>
      </c>
      <c r="L52" s="78">
        <f t="shared" si="46"/>
        <v>69.2741005218409</v>
      </c>
      <c r="M52" s="78">
        <f t="shared" si="46"/>
        <v>13.653380552950292</v>
      </c>
      <c r="N52" s="78">
        <f aca="true" t="shared" si="47" ref="N52:W52">N45+N46+N50+N48</f>
        <v>7.565461063712846</v>
      </c>
      <c r="O52" s="78">
        <f t="shared" si="47"/>
        <v>43.97776311482659</v>
      </c>
      <c r="P52" s="78">
        <f t="shared" si="47"/>
        <v>58.169729868801866</v>
      </c>
      <c r="Q52" s="78">
        <f t="shared" si="47"/>
        <v>49.60795732070515</v>
      </c>
      <c r="R52" s="78">
        <f t="shared" si="47"/>
        <v>5.0811939347889785</v>
      </c>
      <c r="S52" s="78">
        <f t="shared" si="47"/>
        <v>83.76163326148591</v>
      </c>
      <c r="T52" s="78">
        <f t="shared" si="47"/>
        <v>19.311191801086856</v>
      </c>
      <c r="U52" s="78">
        <f t="shared" si="47"/>
        <v>128.01217885418987</v>
      </c>
      <c r="V52" s="78">
        <f t="shared" si="47"/>
        <v>97.86660372536761</v>
      </c>
      <c r="W52" s="78">
        <f t="shared" si="47"/>
        <v>180.08938307546708</v>
      </c>
      <c r="X52" s="78">
        <f aca="true" t="shared" si="48" ref="X52:AG52">X45+X46+X50+X48</f>
        <v>151.44306899072444</v>
      </c>
      <c r="Y52" s="78">
        <f t="shared" si="48"/>
        <v>112.46874559385861</v>
      </c>
      <c r="Z52" s="78">
        <f t="shared" si="48"/>
        <v>156.5049333902529</v>
      </c>
      <c r="AA52" s="78">
        <f t="shared" si="48"/>
        <v>73.31003461494214</v>
      </c>
      <c r="AB52" s="78">
        <f t="shared" si="48"/>
        <v>299.3969875889496</v>
      </c>
      <c r="AC52" s="78">
        <f t="shared" si="48"/>
        <v>90.61193106988557</v>
      </c>
      <c r="AD52" s="78">
        <f t="shared" si="48"/>
        <v>21.095687614594475</v>
      </c>
      <c r="AE52" s="78">
        <f t="shared" si="48"/>
        <v>18.235238833470614</v>
      </c>
      <c r="AF52" s="78">
        <f t="shared" si="48"/>
        <v>969.3916036858894</v>
      </c>
      <c r="AG52" s="78">
        <f t="shared" si="48"/>
        <v>199.23061189493524</v>
      </c>
      <c r="AH52" s="78">
        <f aca="true" t="shared" si="49" ref="AH52:AQ52">AH45+AH46+AH50+AH48</f>
        <v>54.330887009930315</v>
      </c>
      <c r="AI52" s="78">
        <f t="shared" si="49"/>
        <v>98.3307162307335</v>
      </c>
      <c r="AJ52" s="78">
        <f t="shared" si="49"/>
        <v>36.84853508879971</v>
      </c>
      <c r="AK52" s="78">
        <f t="shared" si="49"/>
        <v>16.86854114049143</v>
      </c>
      <c r="AL52" s="78">
        <f t="shared" si="49"/>
        <v>226.3718891049076</v>
      </c>
      <c r="AM52" s="78">
        <f t="shared" si="49"/>
        <v>47.19483370863983</v>
      </c>
      <c r="AN52" s="78">
        <f t="shared" si="49"/>
        <v>57.98965730098768</v>
      </c>
      <c r="AO52" s="78">
        <f t="shared" si="49"/>
        <v>110.26496228460464</v>
      </c>
      <c r="AP52" s="78">
        <f t="shared" si="49"/>
        <v>336.47961448371586</v>
      </c>
      <c r="AQ52" s="78">
        <f t="shared" si="49"/>
        <v>9.168241926533245</v>
      </c>
      <c r="AR52" s="78"/>
      <c r="AS52" s="78"/>
      <c r="AT52" s="79">
        <f>SUM(D52:AS52)</f>
        <v>5280.751368932508</v>
      </c>
      <c r="AU52" s="78">
        <f aca="true" t="shared" si="50" ref="AU52:AZ52">AU44</f>
        <v>4512.56472</v>
      </c>
      <c r="AV52" s="78">
        <f t="shared" si="50"/>
        <v>177.786024</v>
      </c>
      <c r="AW52" s="78">
        <f t="shared" si="50"/>
        <v>157.7</v>
      </c>
      <c r="AX52" s="79">
        <f t="shared" si="50"/>
        <v>8750.694268760599</v>
      </c>
      <c r="AY52" s="78">
        <f t="shared" si="50"/>
        <v>10044.2365687606</v>
      </c>
      <c r="AZ52" s="78">
        <f t="shared" si="50"/>
        <v>7072.8</v>
      </c>
      <c r="BA52" s="72"/>
      <c r="BB52" s="72"/>
      <c r="BC52" s="72"/>
    </row>
    <row r="53" spans="4:55" s="71" customFormat="1" ht="12.75"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9"/>
      <c r="AU53" s="78"/>
      <c r="AV53" s="80"/>
      <c r="AW53" s="72"/>
      <c r="AX53" s="72"/>
      <c r="AY53" s="72"/>
      <c r="AZ53" s="72"/>
      <c r="BA53" s="72"/>
      <c r="BB53" s="72"/>
      <c r="BC53" s="72"/>
    </row>
    <row r="54" spans="1:52" ht="12.75">
      <c r="A54" s="24" t="s">
        <v>179</v>
      </c>
      <c r="B54" s="24" t="s">
        <v>183</v>
      </c>
      <c r="C54" s="27" t="s">
        <v>184</v>
      </c>
      <c r="D54" s="27">
        <f aca="true" t="shared" si="51" ref="D54:M54">SUM(D41:D43)</f>
        <v>280.87778113349736</v>
      </c>
      <c r="E54" s="27">
        <f t="shared" si="51"/>
        <v>1621.64285904</v>
      </c>
      <c r="F54" s="27">
        <f t="shared" si="51"/>
        <v>318.01121704368296</v>
      </c>
      <c r="G54" s="27">
        <f t="shared" si="51"/>
        <v>89.69121271489999</v>
      </c>
      <c r="H54" s="27">
        <f t="shared" si="51"/>
        <v>11.0133341390082</v>
      </c>
      <c r="I54" s="27">
        <f t="shared" si="51"/>
        <v>165.2156627806952</v>
      </c>
      <c r="J54" s="27">
        <f t="shared" si="51"/>
        <v>128.85746650844774</v>
      </c>
      <c r="K54" s="27">
        <f t="shared" si="51"/>
        <v>57.010886809237505</v>
      </c>
      <c r="L54" s="27">
        <f t="shared" si="51"/>
        <v>267.1518826032109</v>
      </c>
      <c r="M54" s="27">
        <f t="shared" si="51"/>
        <v>24.92562880952701</v>
      </c>
      <c r="N54" s="27">
        <f aca="true" t="shared" si="52" ref="N54:W54">SUM(N41:N43)</f>
        <v>16.739654608794318</v>
      </c>
      <c r="O54" s="27">
        <f t="shared" si="52"/>
        <v>143.93408606976976</v>
      </c>
      <c r="P54" s="27">
        <f t="shared" si="52"/>
        <v>282.75911705052306</v>
      </c>
      <c r="Q54" s="27">
        <f t="shared" si="52"/>
        <v>69.05448065165128</v>
      </c>
      <c r="R54" s="27">
        <f t="shared" si="52"/>
        <v>8.921735643897437</v>
      </c>
      <c r="S54" s="27">
        <f t="shared" si="52"/>
        <v>479.67964643969236</v>
      </c>
      <c r="T54" s="27">
        <f t="shared" si="52"/>
        <v>111.50372301974359</v>
      </c>
      <c r="U54" s="27">
        <f t="shared" si="52"/>
        <v>196.86127443643076</v>
      </c>
      <c r="V54" s="27">
        <f t="shared" si="52"/>
        <v>686.8399420030455</v>
      </c>
      <c r="W54" s="27">
        <f t="shared" si="52"/>
        <v>263.98578614867716</v>
      </c>
      <c r="X54" s="27">
        <f aca="true" t="shared" si="53" ref="X54:AG54">SUM(X41:X43)</f>
        <v>239.24457599012305</v>
      </c>
      <c r="Y54" s="27">
        <f t="shared" si="53"/>
        <v>240.5497633158378</v>
      </c>
      <c r="Z54" s="27">
        <f t="shared" si="53"/>
        <v>94.5617572285618</v>
      </c>
      <c r="AA54" s="27">
        <f t="shared" si="53"/>
        <v>112.8756889395012</v>
      </c>
      <c r="AB54" s="27">
        <f t="shared" si="53"/>
        <v>868.6178203189153</v>
      </c>
      <c r="AC54" s="27">
        <f t="shared" si="53"/>
        <v>627.1955591769804</v>
      </c>
      <c r="AD54" s="27">
        <f t="shared" si="53"/>
        <v>441.0692431034932</v>
      </c>
      <c r="AE54" s="27">
        <f t="shared" si="53"/>
        <v>77.92687097364369</v>
      </c>
      <c r="AF54" s="27">
        <f t="shared" si="53"/>
        <v>43.01048647468718</v>
      </c>
      <c r="AG54" s="27">
        <f t="shared" si="53"/>
        <v>70.77192819973077</v>
      </c>
      <c r="AH54" s="27">
        <f aca="true" t="shared" si="54" ref="AH54:AQ54">SUM(AH41:AH43)</f>
        <v>107.98314509130805</v>
      </c>
      <c r="AI54" s="27">
        <f t="shared" si="54"/>
        <v>192.45452574651785</v>
      </c>
      <c r="AJ54" s="27">
        <f t="shared" si="54"/>
        <v>88.87262640006048</v>
      </c>
      <c r="AK54" s="27">
        <f t="shared" si="54"/>
        <v>250.39428490583276</v>
      </c>
      <c r="AL54" s="27">
        <f t="shared" si="54"/>
        <v>443.2266672644961</v>
      </c>
      <c r="AM54" s="27">
        <f t="shared" si="54"/>
        <v>339.9160448525296</v>
      </c>
      <c r="AN54" s="27">
        <f t="shared" si="54"/>
        <v>299.3582352348192</v>
      </c>
      <c r="AO54" s="27">
        <f t="shared" si="54"/>
        <v>114.57603992146839</v>
      </c>
      <c r="AP54" s="27">
        <f t="shared" si="54"/>
        <v>291.1204764324701</v>
      </c>
      <c r="AQ54" s="27">
        <f t="shared" si="54"/>
        <v>50.77785381944014</v>
      </c>
      <c r="AT54" s="29">
        <f aca="true" t="shared" si="55" ref="AT54:AZ54">SUM(AT41:AT43)</f>
        <v>10219.180971044847</v>
      </c>
      <c r="AU54" s="27">
        <f t="shared" si="55"/>
        <v>6506.432621608905</v>
      </c>
      <c r="AV54" s="27">
        <f t="shared" si="55"/>
        <v>-9.9306</v>
      </c>
      <c r="AW54" s="27">
        <f t="shared" si="55"/>
        <v>1863</v>
      </c>
      <c r="AX54" s="65">
        <f t="shared" si="55"/>
        <v>14758.769632245123</v>
      </c>
      <c r="AY54" s="58">
        <f t="shared" si="55"/>
        <v>18578.68299265375</v>
      </c>
      <c r="AZ54" s="27">
        <f t="shared" si="55"/>
        <v>1738</v>
      </c>
    </row>
    <row r="55" spans="2:53" ht="12.75">
      <c r="B55" s="24"/>
      <c r="C55" s="27"/>
      <c r="AT55" s="29"/>
      <c r="AX55" s="20"/>
      <c r="AY55" s="35"/>
      <c r="BA55" s="19" t="s">
        <v>193</v>
      </c>
    </row>
    <row r="56" spans="1:53" ht="12.75">
      <c r="A56" s="24" t="s">
        <v>179</v>
      </c>
      <c r="B56" s="24" t="s">
        <v>194</v>
      </c>
      <c r="C56" s="27" t="s">
        <v>184</v>
      </c>
      <c r="D56" s="27">
        <v>280.9</v>
      </c>
      <c r="E56" s="27">
        <v>1621.6</v>
      </c>
      <c r="F56" s="27">
        <v>318</v>
      </c>
      <c r="G56" s="27">
        <v>89.7</v>
      </c>
      <c r="H56" s="27">
        <v>11</v>
      </c>
      <c r="I56" s="27">
        <v>165.2156627806952</v>
      </c>
      <c r="J56" s="27">
        <v>128.85746650844774</v>
      </c>
      <c r="K56" s="27">
        <v>57.010886809237505</v>
      </c>
      <c r="L56" s="27">
        <v>267.1518826032109</v>
      </c>
      <c r="M56" s="27">
        <v>24.92562880952701</v>
      </c>
      <c r="N56" s="27">
        <v>16.7</v>
      </c>
      <c r="O56" s="27">
        <v>143.9</v>
      </c>
      <c r="P56" s="27">
        <v>282.75911705052306</v>
      </c>
      <c r="Q56" s="27">
        <v>69.05448065165128</v>
      </c>
      <c r="R56" s="27">
        <v>8.921735643897437</v>
      </c>
      <c r="S56" s="27">
        <v>479.67964643969236</v>
      </c>
      <c r="T56" s="27">
        <v>111.50372301974359</v>
      </c>
      <c r="U56" s="27">
        <v>196.86127443643076</v>
      </c>
      <c r="V56" s="27">
        <v>686.8399420030455</v>
      </c>
      <c r="W56" s="27">
        <v>263.98578614867716</v>
      </c>
      <c r="X56" s="27">
        <v>239.24457599012305</v>
      </c>
      <c r="Y56" s="27">
        <v>240.5497633158378</v>
      </c>
      <c r="Z56" s="27">
        <v>94.5617572285618</v>
      </c>
      <c r="AA56" s="27">
        <v>112.8756889395012</v>
      </c>
      <c r="AB56" s="27">
        <v>868.6178203189153</v>
      </c>
      <c r="AC56" s="27">
        <v>627.1955591769804</v>
      </c>
      <c r="AD56" s="27">
        <v>441.1</v>
      </c>
      <c r="AE56" s="27">
        <v>77.9</v>
      </c>
      <c r="AF56" s="27">
        <v>43</v>
      </c>
      <c r="AG56" s="27">
        <v>70.8</v>
      </c>
      <c r="AH56" s="27">
        <v>107.98314509130805</v>
      </c>
      <c r="AI56" s="27">
        <v>192.45452574651785</v>
      </c>
      <c r="AJ56" s="27">
        <v>88.87262640006048</v>
      </c>
      <c r="AK56" s="27">
        <v>250.39428490583276</v>
      </c>
      <c r="AL56" s="27">
        <v>443.2266672644961</v>
      </c>
      <c r="AM56" s="27">
        <v>339.9160448525296</v>
      </c>
      <c r="AN56" s="27">
        <v>299.3582352348192</v>
      </c>
      <c r="AO56" s="27">
        <v>114.57603992146839</v>
      </c>
      <c r="AP56" s="27">
        <v>291.1204764324701</v>
      </c>
      <c r="AQ56" s="27">
        <v>51.2</v>
      </c>
      <c r="AR56" s="27"/>
      <c r="AS56" s="27"/>
      <c r="AT56" s="29">
        <f>SUM(D56:AS56)</f>
        <v>10219.5144437242</v>
      </c>
      <c r="AU56" s="27">
        <v>6512.2</v>
      </c>
      <c r="AV56" s="27">
        <v>-9.4</v>
      </c>
      <c r="AW56" s="27">
        <v>1863</v>
      </c>
      <c r="AX56" s="65">
        <f>AY56-AW56-E56</f>
        <v>15100.699999999999</v>
      </c>
      <c r="AY56" s="58">
        <v>18585.3</v>
      </c>
      <c r="AZ56" s="27">
        <v>1738</v>
      </c>
      <c r="BA56" s="27">
        <f>24771-AX56</f>
        <v>9670.300000000001</v>
      </c>
    </row>
    <row r="57" spans="2:51" ht="12.75">
      <c r="B57" s="24"/>
      <c r="C57" s="27"/>
      <c r="AX57" s="20"/>
      <c r="AY57" s="35"/>
    </row>
    <row r="58" spans="1:52" s="33" customFormat="1" ht="12.75">
      <c r="A58" s="32" t="s">
        <v>179</v>
      </c>
      <c r="B58" s="32"/>
      <c r="C58" s="56" t="s">
        <v>195</v>
      </c>
      <c r="D58" s="29">
        <f aca="true" t="shared" si="56" ref="D58:M58">D56-D54</f>
        <v>0.0222188665026124</v>
      </c>
      <c r="E58" s="29">
        <f t="shared" si="56"/>
        <v>-0.042859040000166715</v>
      </c>
      <c r="F58" s="29">
        <f t="shared" si="56"/>
        <v>-0.011217043682961503</v>
      </c>
      <c r="G58" s="29">
        <f t="shared" si="56"/>
        <v>0.00878728510001281</v>
      </c>
      <c r="H58" s="29">
        <f t="shared" si="56"/>
        <v>-0.01333413900819913</v>
      </c>
      <c r="I58" s="29">
        <f t="shared" si="56"/>
        <v>0</v>
      </c>
      <c r="J58" s="29">
        <f t="shared" si="56"/>
        <v>0</v>
      </c>
      <c r="K58" s="29">
        <f t="shared" si="56"/>
        <v>0</v>
      </c>
      <c r="L58" s="29">
        <f t="shared" si="56"/>
        <v>0</v>
      </c>
      <c r="M58" s="29">
        <f t="shared" si="56"/>
        <v>0</v>
      </c>
      <c r="N58" s="29">
        <f aca="true" t="shared" si="57" ref="N58:W58">N56-N54</f>
        <v>-0.03965460879431859</v>
      </c>
      <c r="O58" s="29">
        <f t="shared" si="57"/>
        <v>-0.03408606976975648</v>
      </c>
      <c r="P58" s="29">
        <f t="shared" si="57"/>
        <v>0</v>
      </c>
      <c r="Q58" s="29">
        <f t="shared" si="57"/>
        <v>0</v>
      </c>
      <c r="R58" s="29">
        <f t="shared" si="57"/>
        <v>0</v>
      </c>
      <c r="S58" s="29">
        <f t="shared" si="57"/>
        <v>0</v>
      </c>
      <c r="T58" s="29">
        <f t="shared" si="57"/>
        <v>0</v>
      </c>
      <c r="U58" s="29">
        <f t="shared" si="57"/>
        <v>0</v>
      </c>
      <c r="V58" s="29">
        <f t="shared" si="57"/>
        <v>0</v>
      </c>
      <c r="W58" s="29">
        <f t="shared" si="57"/>
        <v>0</v>
      </c>
      <c r="X58" s="29">
        <f aca="true" t="shared" si="58" ref="X58:AG58">X56-X54</f>
        <v>0</v>
      </c>
      <c r="Y58" s="29">
        <f t="shared" si="58"/>
        <v>0</v>
      </c>
      <c r="Z58" s="29">
        <f t="shared" si="58"/>
        <v>0</v>
      </c>
      <c r="AA58" s="29">
        <f t="shared" si="58"/>
        <v>0</v>
      </c>
      <c r="AB58" s="29">
        <f t="shared" si="58"/>
        <v>0</v>
      </c>
      <c r="AC58" s="29">
        <f t="shared" si="58"/>
        <v>0</v>
      </c>
      <c r="AD58" s="29">
        <f t="shared" si="58"/>
        <v>0.03075689650682989</v>
      </c>
      <c r="AE58" s="29">
        <f t="shared" si="58"/>
        <v>-0.02687097364368185</v>
      </c>
      <c r="AF58" s="29">
        <f t="shared" si="58"/>
        <v>-0.010486474687176894</v>
      </c>
      <c r="AG58" s="29">
        <f t="shared" si="58"/>
        <v>0.028071800269231062</v>
      </c>
      <c r="AH58" s="29">
        <f aca="true" t="shared" si="59" ref="AH58:AQ58">AH56-AH54</f>
        <v>0</v>
      </c>
      <c r="AI58" s="29">
        <f t="shared" si="59"/>
        <v>0</v>
      </c>
      <c r="AJ58" s="29">
        <f t="shared" si="59"/>
        <v>0</v>
      </c>
      <c r="AK58" s="29">
        <f t="shared" si="59"/>
        <v>0</v>
      </c>
      <c r="AL58" s="29">
        <f t="shared" si="59"/>
        <v>0</v>
      </c>
      <c r="AM58" s="29">
        <f t="shared" si="59"/>
        <v>0</v>
      </c>
      <c r="AN58" s="29">
        <f t="shared" si="59"/>
        <v>0</v>
      </c>
      <c r="AO58" s="29">
        <f t="shared" si="59"/>
        <v>0</v>
      </c>
      <c r="AP58" s="29">
        <f t="shared" si="59"/>
        <v>0</v>
      </c>
      <c r="AQ58" s="29">
        <f t="shared" si="59"/>
        <v>0.42214618055986364</v>
      </c>
      <c r="AT58" s="29">
        <f aca="true" t="shared" si="60" ref="AT58:AZ58">AT56-AT54</f>
        <v>0.3334726793527807</v>
      </c>
      <c r="AU58" s="29">
        <f t="shared" si="60"/>
        <v>5.767378391095008</v>
      </c>
      <c r="AV58" s="29">
        <f t="shared" si="60"/>
        <v>0.5305999999999997</v>
      </c>
      <c r="AW58" s="29">
        <f t="shared" si="60"/>
        <v>0</v>
      </c>
      <c r="AX58" s="29">
        <f t="shared" si="60"/>
        <v>341.930367754876</v>
      </c>
      <c r="AY58" s="29">
        <f t="shared" si="60"/>
        <v>6.617007346249011</v>
      </c>
      <c r="AZ58" s="29">
        <f t="shared" si="60"/>
        <v>0</v>
      </c>
    </row>
    <row r="59" ht="12.75"/>
    <row r="60" spans="1:52" ht="12.75">
      <c r="A60" s="24" t="s">
        <v>179</v>
      </c>
      <c r="B60" s="19">
        <v>5</v>
      </c>
      <c r="C60" s="71" t="s">
        <v>196</v>
      </c>
      <c r="D60" s="27">
        <f aca="true" t="shared" si="61" ref="D60:AQ60">D44</f>
        <v>95.4551944333582</v>
      </c>
      <c r="E60" s="27">
        <f t="shared" si="61"/>
        <v>15.808312330379216</v>
      </c>
      <c r="F60" s="27">
        <f t="shared" si="61"/>
        <v>2.2235117956176884</v>
      </c>
      <c r="G60" s="27">
        <f t="shared" si="61"/>
        <v>0.7352143479113208</v>
      </c>
      <c r="H60" s="27">
        <f t="shared" si="61"/>
        <v>1135.8423</v>
      </c>
      <c r="I60" s="27">
        <f t="shared" si="61"/>
        <v>138.89932861465172</v>
      </c>
      <c r="J60" s="27">
        <f t="shared" si="61"/>
        <v>13.331366205692193</v>
      </c>
      <c r="K60" s="27">
        <f t="shared" si="61"/>
        <v>3.070945981037974</v>
      </c>
      <c r="L60" s="27">
        <f t="shared" si="61"/>
        <v>70.8607927151483</v>
      </c>
      <c r="M60" s="27">
        <f t="shared" si="61"/>
        <v>13.785278149146762</v>
      </c>
      <c r="N60" s="27">
        <f t="shared" si="61"/>
        <v>22.28467328865288</v>
      </c>
      <c r="O60" s="27">
        <f t="shared" si="61"/>
        <v>59.79448093335064</v>
      </c>
      <c r="P60" s="27">
        <f t="shared" si="61"/>
        <v>58.31059951241008</v>
      </c>
      <c r="Q60" s="27">
        <f t="shared" si="61"/>
        <v>51.16634176703562</v>
      </c>
      <c r="R60" s="27">
        <f t="shared" si="61"/>
        <v>6.162605867594721</v>
      </c>
      <c r="S60" s="27">
        <f t="shared" si="61"/>
        <v>94.91706786226953</v>
      </c>
      <c r="T60" s="27">
        <f t="shared" si="61"/>
        <v>22.19115022599626</v>
      </c>
      <c r="U60" s="27">
        <f t="shared" si="61"/>
        <v>130.60531536121712</v>
      </c>
      <c r="V60" s="27">
        <f t="shared" si="61"/>
        <v>137.04652436611735</v>
      </c>
      <c r="W60" s="27">
        <f t="shared" si="61"/>
        <v>223.02895025263572</v>
      </c>
      <c r="X60" s="27">
        <f t="shared" si="61"/>
        <v>171.48787349412032</v>
      </c>
      <c r="Y60" s="27">
        <f t="shared" si="61"/>
        <v>113.81475295529273</v>
      </c>
      <c r="Z60" s="27">
        <f t="shared" si="61"/>
        <v>157.12808484620697</v>
      </c>
      <c r="AA60" s="27">
        <f t="shared" si="61"/>
        <v>129.3904349222837</v>
      </c>
      <c r="AB60" s="27">
        <f t="shared" si="61"/>
        <v>364.5778734039177</v>
      </c>
      <c r="AC60" s="27">
        <f t="shared" si="61"/>
        <v>90.61193106988557</v>
      </c>
      <c r="AD60" s="27">
        <f t="shared" si="61"/>
        <v>21.331647584512986</v>
      </c>
      <c r="AE60" s="27">
        <f t="shared" si="61"/>
        <v>18.473354579690874</v>
      </c>
      <c r="AF60" s="27">
        <f t="shared" si="61"/>
        <v>640.7714277201865</v>
      </c>
      <c r="AG60" s="27">
        <f t="shared" si="61"/>
        <v>199.23061189493524</v>
      </c>
      <c r="AH60" s="27">
        <f t="shared" si="61"/>
        <v>54.330887009930315</v>
      </c>
      <c r="AI60" s="27">
        <f t="shared" si="61"/>
        <v>98.3307162307335</v>
      </c>
      <c r="AJ60" s="27">
        <f t="shared" si="61"/>
        <v>36.84853508879971</v>
      </c>
      <c r="AK60" s="27">
        <f t="shared" si="61"/>
        <v>16.86854114049143</v>
      </c>
      <c r="AL60" s="27">
        <f t="shared" si="61"/>
        <v>226.3718891049076</v>
      </c>
      <c r="AM60" s="27">
        <f t="shared" si="61"/>
        <v>47.19483370863983</v>
      </c>
      <c r="AN60" s="27">
        <f t="shared" si="61"/>
        <v>57.98965730098768</v>
      </c>
      <c r="AO60" s="27">
        <f t="shared" si="61"/>
        <v>110.26496228460464</v>
      </c>
      <c r="AP60" s="27">
        <f t="shared" si="61"/>
        <v>336.47961448371586</v>
      </c>
      <c r="AQ60" s="27">
        <f t="shared" si="61"/>
        <v>9.168241926533245</v>
      </c>
      <c r="AT60" s="29">
        <f>SUM(D60:AS60)</f>
        <v>5196.185824760599</v>
      </c>
      <c r="AU60" s="27">
        <f>AU44</f>
        <v>4512.56472</v>
      </c>
      <c r="AV60" s="27">
        <f>AV44</f>
        <v>177.786024</v>
      </c>
      <c r="AW60" s="27">
        <f>AW44</f>
        <v>157.7</v>
      </c>
      <c r="AX60" s="65">
        <f>AY60-AW60-H60</f>
        <v>8592.994268760598</v>
      </c>
      <c r="AY60" s="27">
        <f>SUM(AT60:AV60)</f>
        <v>9886.536568760599</v>
      </c>
      <c r="AZ60" s="27">
        <f>AZ44</f>
        <v>7072.8</v>
      </c>
    </row>
    <row r="61" ht="12.75"/>
    <row r="62" spans="1:52" ht="12.75">
      <c r="A62" s="24" t="s">
        <v>179</v>
      </c>
      <c r="B62" s="19" t="s">
        <v>194</v>
      </c>
      <c r="C62" s="19" t="s">
        <v>103</v>
      </c>
      <c r="D62" s="27">
        <v>95.4551944333582</v>
      </c>
      <c r="E62" s="54">
        <v>15.808312330379216</v>
      </c>
      <c r="F62" s="54">
        <v>2.2235117956176884</v>
      </c>
      <c r="G62" s="54">
        <v>0.7352143479113208</v>
      </c>
      <c r="H62" s="27">
        <v>1135.8</v>
      </c>
      <c r="I62" s="27">
        <v>138.89932861465172</v>
      </c>
      <c r="J62" s="27">
        <v>13.331366205692193</v>
      </c>
      <c r="K62" s="27">
        <v>3.070945981037974</v>
      </c>
      <c r="L62" s="27">
        <v>70.8607927151483</v>
      </c>
      <c r="M62" s="27">
        <v>13.785278149146762</v>
      </c>
      <c r="N62" s="27">
        <v>22.28467328865288</v>
      </c>
      <c r="O62" s="27">
        <v>59.79448093335064</v>
      </c>
      <c r="P62" s="27">
        <v>58.31059951241008</v>
      </c>
      <c r="Q62" s="27">
        <v>51.16634176703562</v>
      </c>
      <c r="R62" s="27">
        <v>6.162605867594721</v>
      </c>
      <c r="S62" s="27">
        <v>94.91706786226953</v>
      </c>
      <c r="T62" s="27">
        <v>22.19115022599626</v>
      </c>
      <c r="U62" s="27">
        <v>130.60531536121712</v>
      </c>
      <c r="V62" s="27">
        <v>137.04652436611735</v>
      </c>
      <c r="W62" s="27">
        <v>223.02895025263572</v>
      </c>
      <c r="X62" s="27">
        <v>171.48787349412032</v>
      </c>
      <c r="Y62" s="27">
        <v>113.81475295529273</v>
      </c>
      <c r="Z62" s="27">
        <v>157.12808484620697</v>
      </c>
      <c r="AA62" s="27">
        <v>129.3904349222837</v>
      </c>
      <c r="AB62" s="27">
        <v>364.5778734039177</v>
      </c>
      <c r="AC62" s="27">
        <v>90.61193106988557</v>
      </c>
      <c r="AD62" s="27">
        <v>21.331647584512986</v>
      </c>
      <c r="AE62" s="54">
        <v>18.473354579690874</v>
      </c>
      <c r="AF62" s="27">
        <v>640.7714277201865</v>
      </c>
      <c r="AG62" s="54">
        <v>199.23061189493524</v>
      </c>
      <c r="AH62" s="27">
        <v>54.330887009930315</v>
      </c>
      <c r="AI62" s="27">
        <v>98.3307162307335</v>
      </c>
      <c r="AJ62" s="27">
        <v>36.84853508879971</v>
      </c>
      <c r="AK62" s="27">
        <v>16.86854114049143</v>
      </c>
      <c r="AL62" s="27">
        <v>226.3718891049076</v>
      </c>
      <c r="AM62" s="27">
        <v>47.19483370863983</v>
      </c>
      <c r="AN62" s="27">
        <v>57.98965730098768</v>
      </c>
      <c r="AO62" s="27">
        <v>110.26496228460464</v>
      </c>
      <c r="AP62" s="27">
        <v>336.47961448371586</v>
      </c>
      <c r="AQ62" s="27">
        <v>9.168241926533245</v>
      </c>
      <c r="AT62" s="65">
        <v>5082.6</v>
      </c>
      <c r="AU62" s="27">
        <v>4512.2</v>
      </c>
      <c r="AV62" s="27">
        <v>177</v>
      </c>
      <c r="AW62" s="19">
        <v>132.8</v>
      </c>
      <c r="AX62" s="65">
        <f>AY62-AW62-H62</f>
        <v>8636.100000000002</v>
      </c>
      <c r="AY62" s="27">
        <v>9904.7</v>
      </c>
      <c r="AZ62" s="27">
        <v>7072.8</v>
      </c>
    </row>
    <row r="64" spans="1:52" s="20" customFormat="1" ht="12.75">
      <c r="A64" s="63" t="s">
        <v>179</v>
      </c>
      <c r="B64" s="12"/>
      <c r="C64" s="102" t="s">
        <v>186</v>
      </c>
      <c r="D64" s="65">
        <f aca="true" t="shared" si="62" ref="D64:M64">D62-D60</f>
        <v>0</v>
      </c>
      <c r="E64" s="65">
        <f t="shared" si="62"/>
        <v>0</v>
      </c>
      <c r="F64" s="65">
        <f t="shared" si="62"/>
        <v>0</v>
      </c>
      <c r="G64" s="65">
        <f t="shared" si="62"/>
        <v>0</v>
      </c>
      <c r="H64" s="65">
        <f t="shared" si="62"/>
        <v>-0.042300000000068394</v>
      </c>
      <c r="I64" s="65">
        <f t="shared" si="62"/>
        <v>0</v>
      </c>
      <c r="J64" s="65">
        <f t="shared" si="62"/>
        <v>0</v>
      </c>
      <c r="K64" s="65">
        <f t="shared" si="62"/>
        <v>0</v>
      </c>
      <c r="L64" s="65">
        <f t="shared" si="62"/>
        <v>0</v>
      </c>
      <c r="M64" s="65">
        <f t="shared" si="62"/>
        <v>0</v>
      </c>
      <c r="N64" s="65">
        <f aca="true" t="shared" si="63" ref="N64:W64">N62-N60</f>
        <v>0</v>
      </c>
      <c r="O64" s="65">
        <f t="shared" si="63"/>
        <v>0</v>
      </c>
      <c r="P64" s="65">
        <f t="shared" si="63"/>
        <v>0</v>
      </c>
      <c r="Q64" s="65">
        <f t="shared" si="63"/>
        <v>0</v>
      </c>
      <c r="R64" s="65">
        <f t="shared" si="63"/>
        <v>0</v>
      </c>
      <c r="S64" s="65">
        <f t="shared" si="63"/>
        <v>0</v>
      </c>
      <c r="T64" s="65">
        <f t="shared" si="63"/>
        <v>0</v>
      </c>
      <c r="U64" s="65">
        <f t="shared" si="63"/>
        <v>0</v>
      </c>
      <c r="V64" s="65">
        <f t="shared" si="63"/>
        <v>0</v>
      </c>
      <c r="W64" s="65">
        <f t="shared" si="63"/>
        <v>0</v>
      </c>
      <c r="X64" s="65">
        <f aca="true" t="shared" si="64" ref="X64:AG64">X62-X60</f>
        <v>0</v>
      </c>
      <c r="Y64" s="65">
        <f t="shared" si="64"/>
        <v>0</v>
      </c>
      <c r="Z64" s="65">
        <f t="shared" si="64"/>
        <v>0</v>
      </c>
      <c r="AA64" s="65">
        <f t="shared" si="64"/>
        <v>0</v>
      </c>
      <c r="AB64" s="65">
        <f t="shared" si="64"/>
        <v>0</v>
      </c>
      <c r="AC64" s="65">
        <f t="shared" si="64"/>
        <v>0</v>
      </c>
      <c r="AD64" s="65">
        <f t="shared" si="64"/>
        <v>0</v>
      </c>
      <c r="AE64" s="65">
        <f t="shared" si="64"/>
        <v>0</v>
      </c>
      <c r="AF64" s="65">
        <f t="shared" si="64"/>
        <v>0</v>
      </c>
      <c r="AG64" s="65">
        <f t="shared" si="64"/>
        <v>0</v>
      </c>
      <c r="AH64" s="65">
        <f aca="true" t="shared" si="65" ref="AH64:AQ64">AH62-AH60</f>
        <v>0</v>
      </c>
      <c r="AI64" s="65">
        <f t="shared" si="65"/>
        <v>0</v>
      </c>
      <c r="AJ64" s="65">
        <f t="shared" si="65"/>
        <v>0</v>
      </c>
      <c r="AK64" s="65">
        <f t="shared" si="65"/>
        <v>0</v>
      </c>
      <c r="AL64" s="65">
        <f t="shared" si="65"/>
        <v>0</v>
      </c>
      <c r="AM64" s="65">
        <f t="shared" si="65"/>
        <v>0</v>
      </c>
      <c r="AN64" s="65">
        <f t="shared" si="65"/>
        <v>0</v>
      </c>
      <c r="AO64" s="65">
        <f t="shared" si="65"/>
        <v>0</v>
      </c>
      <c r="AP64" s="65">
        <f t="shared" si="65"/>
        <v>0</v>
      </c>
      <c r="AQ64" s="65">
        <f t="shared" si="65"/>
        <v>0</v>
      </c>
      <c r="AT64" s="29">
        <f aca="true" t="shared" si="66" ref="AT64:AZ64">AT62-AT60</f>
        <v>-113.58582476059837</v>
      </c>
      <c r="AU64" s="65">
        <f t="shared" si="66"/>
        <v>-0.36472000000048865</v>
      </c>
      <c r="AV64" s="65">
        <f t="shared" si="66"/>
        <v>-0.7860239999999976</v>
      </c>
      <c r="AW64" s="65">
        <f t="shared" si="66"/>
        <v>-24.899999999999977</v>
      </c>
      <c r="AX64" s="65">
        <f t="shared" si="66"/>
        <v>43.10573123940412</v>
      </c>
      <c r="AY64" s="65">
        <f t="shared" si="66"/>
        <v>18.16343123940169</v>
      </c>
      <c r="AZ64" s="65">
        <f t="shared" si="66"/>
        <v>0</v>
      </c>
    </row>
    <row r="65" spans="1:3" ht="12.75">
      <c r="A65"/>
      <c r="B65"/>
      <c r="C65"/>
    </row>
    <row r="66" spans="1:50" ht="12.75">
      <c r="A66"/>
      <c r="B66"/>
      <c r="C66"/>
      <c r="D66"/>
      <c r="E66"/>
      <c r="F66"/>
      <c r="G66"/>
      <c r="H66"/>
      <c r="I66"/>
      <c r="J66"/>
      <c r="AX66"/>
    </row>
    <row r="67" spans="1:10" ht="12.75">
      <c r="A67"/>
      <c r="B67"/>
      <c r="C67"/>
      <c r="D67"/>
      <c r="E67"/>
      <c r="F67"/>
      <c r="G67"/>
      <c r="H67"/>
      <c r="I67"/>
      <c r="J67"/>
    </row>
    <row r="68" spans="2:9" ht="12.75">
      <c r="B68" s="16"/>
      <c r="C68" s="18"/>
      <c r="D68" s="32"/>
      <c r="I68" s="33"/>
    </row>
    <row r="69" spans="2:9" ht="12.75">
      <c r="B69" s="16"/>
      <c r="C69" s="18"/>
      <c r="D69" s="32"/>
      <c r="I69" s="32"/>
    </row>
    <row r="70" spans="2:9" ht="12.75">
      <c r="B70" s="16"/>
      <c r="C70" s="18"/>
      <c r="D70" s="32"/>
      <c r="I70" s="33"/>
    </row>
    <row r="71" spans="2:10" ht="12.75">
      <c r="B71" s="16"/>
      <c r="C71" s="18"/>
      <c r="D71" s="32"/>
      <c r="F71" s="24"/>
      <c r="H71" s="24"/>
      <c r="I71" s="32"/>
      <c r="J71" s="35"/>
    </row>
    <row r="72" spans="2:10" ht="12.75">
      <c r="B72" s="16"/>
      <c r="C72" s="18"/>
      <c r="D72" s="32"/>
      <c r="E72" s="24"/>
      <c r="F72" s="24"/>
      <c r="G72" s="24"/>
      <c r="H72" s="24"/>
      <c r="I72" s="32"/>
      <c r="J72" s="24"/>
    </row>
    <row r="73" spans="2:9" ht="12.75">
      <c r="B73" s="16"/>
      <c r="C73" s="18"/>
      <c r="D73" s="33"/>
      <c r="I73" s="33"/>
    </row>
    <row r="74" spans="2:9" ht="12.75">
      <c r="B74" s="16"/>
      <c r="C74" s="18"/>
      <c r="D74" s="33"/>
      <c r="I74" s="33"/>
    </row>
    <row r="75" spans="1:10" ht="12.75">
      <c r="A75" s="24"/>
      <c r="B75" s="16"/>
      <c r="C75" s="18"/>
      <c r="D75" s="34"/>
      <c r="E75" s="25"/>
      <c r="F75" s="25"/>
      <c r="G75" s="25"/>
      <c r="H75" s="23"/>
      <c r="I75" s="34"/>
      <c r="J75" s="36"/>
    </row>
    <row r="76" spans="1:10" ht="12.75">
      <c r="A76" s="24"/>
      <c r="B76" s="16"/>
      <c r="C76" s="16"/>
      <c r="D76" s="32"/>
      <c r="G76" s="24"/>
      <c r="H76" s="24"/>
      <c r="I76" s="32"/>
      <c r="J76" s="24"/>
    </row>
    <row r="77" spans="1:10" ht="12.75">
      <c r="A77" s="24"/>
      <c r="B77" s="16"/>
      <c r="C77" s="16"/>
      <c r="D77" s="37"/>
      <c r="H77" s="24"/>
      <c r="I77" s="32"/>
      <c r="J77" s="11"/>
    </row>
    <row r="78" spans="2:10" ht="12.75">
      <c r="B78" s="16"/>
      <c r="C78" s="16"/>
      <c r="D78" s="34"/>
      <c r="E78" s="23"/>
      <c r="F78" s="23"/>
      <c r="G78" s="23"/>
      <c r="H78" s="36"/>
      <c r="I78" s="34"/>
      <c r="J78" s="23"/>
    </row>
    <row r="79" spans="2:9" ht="12.75">
      <c r="B79" s="16"/>
      <c r="C79" s="16"/>
      <c r="D79" s="33"/>
      <c r="I79" s="33"/>
    </row>
    <row r="80" spans="2:9" ht="12.75">
      <c r="B80" s="16"/>
      <c r="C80" s="16"/>
      <c r="D80" s="33"/>
      <c r="I80" s="33"/>
    </row>
    <row r="81" spans="2:9" ht="12.75">
      <c r="B81" s="16"/>
      <c r="C81" s="16"/>
      <c r="D81" s="33"/>
      <c r="I81" s="33"/>
    </row>
    <row r="82" spans="2:9" ht="12.75">
      <c r="B82" s="16"/>
      <c r="C82" s="16"/>
      <c r="D82" s="33"/>
      <c r="I82" s="33"/>
    </row>
    <row r="83" spans="2:9" ht="12.75">
      <c r="B83" s="16"/>
      <c r="C83" s="16"/>
      <c r="D83" s="33"/>
      <c r="I83" s="33"/>
    </row>
    <row r="84" spans="2:9" ht="12.75">
      <c r="B84" s="16"/>
      <c r="C84" s="18"/>
      <c r="D84" s="33"/>
      <c r="I84" s="33"/>
    </row>
    <row r="85" spans="2:9" ht="12.75">
      <c r="B85" s="16"/>
      <c r="C85" s="16"/>
      <c r="D85" s="33"/>
      <c r="I85" s="33"/>
    </row>
    <row r="86" spans="1:10" ht="12.75">
      <c r="A86" s="24"/>
      <c r="B86" s="16"/>
      <c r="C86" s="16"/>
      <c r="D86" s="29"/>
      <c r="E86" s="27"/>
      <c r="F86" s="27"/>
      <c r="G86" s="27"/>
      <c r="H86" s="27"/>
      <c r="I86" s="29"/>
      <c r="J86" s="38"/>
    </row>
    <row r="87" spans="1:10" ht="12.75">
      <c r="A87" s="24"/>
      <c r="B87" s="16"/>
      <c r="C87" s="16"/>
      <c r="D87" s="29"/>
      <c r="E87" s="27"/>
      <c r="F87" s="27"/>
      <c r="G87" s="27"/>
      <c r="H87" s="27"/>
      <c r="I87" s="29"/>
      <c r="J87" s="38"/>
    </row>
    <row r="88" spans="1:10" ht="12.75">
      <c r="A88" s="24"/>
      <c r="B88" s="16"/>
      <c r="C88" s="16"/>
      <c r="D88" s="29"/>
      <c r="E88" s="27"/>
      <c r="F88" s="27"/>
      <c r="G88" s="27"/>
      <c r="H88" s="27"/>
      <c r="I88" s="29"/>
      <c r="J88" s="27"/>
    </row>
    <row r="89" spans="1:9" ht="12.75">
      <c r="A89" s="53"/>
      <c r="B89" s="16"/>
      <c r="C89" s="16"/>
      <c r="D89" s="33"/>
      <c r="I89" s="33"/>
    </row>
    <row r="90" spans="1:10" ht="12.75">
      <c r="A90" s="24"/>
      <c r="B90" s="16"/>
      <c r="C90" s="18"/>
      <c r="D90" s="29"/>
      <c r="E90" s="27"/>
      <c r="F90" s="27"/>
      <c r="G90" s="27"/>
      <c r="H90" s="27"/>
      <c r="I90" s="29"/>
      <c r="J90" s="27"/>
    </row>
    <row r="91" spans="2:3" ht="12.75">
      <c r="B91" s="16"/>
      <c r="C91" s="18"/>
    </row>
    <row r="92" spans="1:10" ht="12.75">
      <c r="A92" s="24"/>
      <c r="B92" s="16"/>
      <c r="C92" s="18"/>
      <c r="D92" s="29"/>
      <c r="E92" s="27"/>
      <c r="F92" s="27"/>
      <c r="G92" s="27"/>
      <c r="H92" s="27"/>
      <c r="I92" s="29"/>
      <c r="J92" s="27"/>
    </row>
    <row r="93" spans="2:9" ht="12.75">
      <c r="B93" s="16"/>
      <c r="C93" s="18"/>
      <c r="I93" s="33"/>
    </row>
    <row r="94" spans="1:10" ht="12.75">
      <c r="A94" s="24"/>
      <c r="B94" s="16"/>
      <c r="C94" s="18"/>
      <c r="D94" s="29"/>
      <c r="E94" s="27"/>
      <c r="F94" s="27"/>
      <c r="G94" s="27"/>
      <c r="H94" s="27"/>
      <c r="I94" s="29"/>
      <c r="J94" s="27"/>
    </row>
  </sheetData>
  <printOptions gridLines="1"/>
  <pageMargins left="0.22" right="0.2" top="0.79" bottom="0.97" header="0.511811023" footer="0.511811023"/>
  <pageSetup fitToHeight="1" fitToWidth="1" horizontalDpi="600" verticalDpi="600" orientation="portrait" paperSize="9" scale="67" r:id="rId3"/>
  <headerFooter alignWithMargins="0">
    <oddHeader>&amp;L&amp;D&amp;C&amp;A</oddHeader>
    <oddFooter>&amp;LKOF/ETH, MS&amp;CSeite &amp;P</oddFooter>
  </headerFooter>
  <colBreaks count="1" manualBreakCount="1">
    <brk id="46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5:E25"/>
  <sheetViews>
    <sheetView workbookViewId="0" topLeftCell="A4">
      <selection activeCell="B21" sqref="B21"/>
    </sheetView>
  </sheetViews>
  <sheetFormatPr defaultColWidth="11.421875" defaultRowHeight="12.75"/>
  <cols>
    <col min="1" max="1" width="17.28125" style="0" customWidth="1"/>
  </cols>
  <sheetData>
    <row r="5" ht="12.75">
      <c r="A5" s="12" t="s">
        <v>649</v>
      </c>
    </row>
    <row r="6" spans="2:5" ht="12.75">
      <c r="B6">
        <v>1990</v>
      </c>
      <c r="C6">
        <v>1995</v>
      </c>
      <c r="D6">
        <f>B6</f>
        <v>1990</v>
      </c>
      <c r="E6">
        <f>C6</f>
        <v>1995</v>
      </c>
    </row>
    <row r="7" spans="2:5" ht="12.75">
      <c r="B7" s="103" t="s">
        <v>160</v>
      </c>
      <c r="C7" s="103" t="s">
        <v>160</v>
      </c>
      <c r="D7" s="103" t="s">
        <v>160</v>
      </c>
      <c r="E7" s="103" t="s">
        <v>160</v>
      </c>
    </row>
    <row r="8" spans="1:5" ht="12.75">
      <c r="A8" t="s">
        <v>654</v>
      </c>
      <c r="B8" s="104">
        <f>EnergNa90!H17</f>
        <v>130921.236</v>
      </c>
      <c r="C8" s="104">
        <f>EnergNa95!H17</f>
        <v>194979.276</v>
      </c>
      <c r="D8" s="105">
        <f>B8/B$15</f>
        <v>0.24639414976271753</v>
      </c>
      <c r="E8" s="105">
        <f>C8/C$15</f>
        <v>0.3619056964821126</v>
      </c>
    </row>
    <row r="9" ht="12.75">
      <c r="A9" t="s">
        <v>647</v>
      </c>
    </row>
    <row r="10" spans="1:5" ht="12.75">
      <c r="A10" t="s">
        <v>648</v>
      </c>
      <c r="B10" s="11">
        <f>EnergNa90!AT17-EnergNa90!H17</f>
        <v>246029.06050596028</v>
      </c>
      <c r="C10" s="11">
        <f>EnergNa95!AT17-EnergNa95!H17</f>
        <v>244531.6205045033</v>
      </c>
      <c r="D10" s="105">
        <f>B10/B$15</f>
        <v>0.4630274127589681</v>
      </c>
      <c r="E10" s="105">
        <f>C10/C$15</f>
        <v>0.453880988000909</v>
      </c>
    </row>
    <row r="11" ht="12.75">
      <c r="A11" t="s">
        <v>650</v>
      </c>
    </row>
    <row r="12" spans="1:5" ht="12.75">
      <c r="A12" t="s">
        <v>142</v>
      </c>
      <c r="B12" s="11">
        <f>EnergNa90!AU17</f>
        <v>285369.981891785</v>
      </c>
      <c r="C12" s="11">
        <f>EnergNa95!AU17</f>
        <v>283591.0420067435</v>
      </c>
      <c r="D12" s="105">
        <f aca="true" t="shared" si="0" ref="D12:E15">B12/B$15</f>
        <v>0.5370671420794443</v>
      </c>
      <c r="E12" s="105">
        <f t="shared" si="0"/>
        <v>0.5263801142309019</v>
      </c>
    </row>
    <row r="13" spans="1:5" ht="12.75">
      <c r="A13" t="s">
        <v>651</v>
      </c>
      <c r="B13" s="11">
        <f>EnergNa90!AV17</f>
        <v>-50.2416</v>
      </c>
      <c r="C13" s="11">
        <f>EnergNa95!AV17</f>
        <v>10634.472</v>
      </c>
      <c r="D13" s="105">
        <f t="shared" si="0"/>
        <v>-9.455483841229966E-05</v>
      </c>
      <c r="E13" s="105">
        <f t="shared" si="0"/>
        <v>0.01973889776818909</v>
      </c>
    </row>
    <row r="14" spans="1:5" ht="12.75">
      <c r="A14" t="s">
        <v>652</v>
      </c>
      <c r="B14" s="11">
        <f>EnergNa90!AW17</f>
        <v>7117.56</v>
      </c>
      <c r="C14" s="11">
        <f>EnergNa95!AW17</f>
        <v>18870</v>
      </c>
      <c r="D14" s="105">
        <f t="shared" si="0"/>
        <v>0.013395268775075785</v>
      </c>
      <c r="E14" s="105">
        <f t="shared" si="0"/>
        <v>0.03502505821499442</v>
      </c>
    </row>
    <row r="15" spans="1:5" s="12" customFormat="1" ht="12.75">
      <c r="A15" s="12" t="s">
        <v>653</v>
      </c>
      <c r="B15" s="106">
        <f>EnergNa90!AX17</f>
        <v>531348.8007977452</v>
      </c>
      <c r="C15" s="106">
        <f>EnergNa95!AX17</f>
        <v>538757.1345112468</v>
      </c>
      <c r="D15" s="107">
        <f t="shared" si="0"/>
        <v>1</v>
      </c>
      <c r="E15" s="107">
        <f t="shared" si="0"/>
        <v>1</v>
      </c>
    </row>
    <row r="17" ht="12.75">
      <c r="A17" t="s">
        <v>655</v>
      </c>
    </row>
    <row r="19" ht="12.75">
      <c r="A19" t="s">
        <v>656</v>
      </c>
    </row>
    <row r="20" ht="12.75">
      <c r="A20" t="str">
        <f>A9</f>
        <v>VL-Lieferungen</v>
      </c>
    </row>
    <row r="21" spans="1:3" ht="12.75">
      <c r="A21" t="str">
        <f>A10</f>
        <v>ohne Eigenverbrauch</v>
      </c>
      <c r="B21" s="11">
        <f>0.7*B10</f>
        <v>172220.3423541722</v>
      </c>
      <c r="C21" s="11">
        <f>0.7*C10</f>
        <v>171172.1343531523</v>
      </c>
    </row>
    <row r="23" spans="1:3" ht="12.75">
      <c r="A23" t="str">
        <f>A12</f>
        <v>Haushalte</v>
      </c>
      <c r="B23" s="11">
        <f aca="true" t="shared" si="1" ref="B23:C25">0.7*B12</f>
        <v>199758.9873242495</v>
      </c>
      <c r="C23" s="11">
        <f t="shared" si="1"/>
        <v>198513.72940472042</v>
      </c>
    </row>
    <row r="24" spans="1:3" ht="12.75">
      <c r="A24" t="str">
        <f>A13</f>
        <v>Lagerveränderung</v>
      </c>
      <c r="B24" s="11">
        <f t="shared" si="1"/>
        <v>-35.16912</v>
      </c>
      <c r="C24" s="11">
        <f t="shared" si="1"/>
        <v>7444.130399999999</v>
      </c>
    </row>
    <row r="25" spans="1:3" ht="12.75">
      <c r="A25" t="str">
        <f>A14</f>
        <v>Exporte</v>
      </c>
      <c r="B25" s="11">
        <f t="shared" si="1"/>
        <v>4982.292</v>
      </c>
      <c r="C25" s="11">
        <f t="shared" si="1"/>
        <v>13209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64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3.57421875" style="0" customWidth="1"/>
    <col min="3" max="3" width="6.421875" style="0" customWidth="1"/>
    <col min="4" max="4" width="13.00390625" style="0" customWidth="1"/>
    <col min="5" max="5" width="13.421875" style="0" customWidth="1"/>
    <col min="20" max="20" width="11.8515625" style="0" customWidth="1"/>
    <col min="34" max="34" width="12.421875" style="0" customWidth="1"/>
  </cols>
  <sheetData>
    <row r="1" spans="1:35" s="19" customFormat="1" ht="15">
      <c r="A1" s="40" t="s">
        <v>197</v>
      </c>
      <c r="B1" s="16"/>
      <c r="C1" s="18"/>
      <c r="E1" s="19" t="s">
        <v>198</v>
      </c>
      <c r="F1" s="16"/>
      <c r="G1" s="18"/>
      <c r="H1" s="31"/>
      <c r="I1" s="61"/>
      <c r="J1" s="55" t="s">
        <v>199</v>
      </c>
      <c r="K1" s="31"/>
      <c r="L1" s="31"/>
      <c r="M1" s="61"/>
      <c r="N1" s="33" t="s">
        <v>200</v>
      </c>
      <c r="U1" s="33" t="s">
        <v>201</v>
      </c>
      <c r="AB1" s="33" t="s">
        <v>202</v>
      </c>
      <c r="AI1" s="33" t="s">
        <v>203</v>
      </c>
    </row>
    <row r="2" spans="1:40" s="19" customFormat="1" ht="12.75">
      <c r="A2" s="52" t="s">
        <v>204</v>
      </c>
      <c r="B2"/>
      <c r="C2"/>
      <c r="E2" s="19">
        <v>2</v>
      </c>
      <c r="F2" s="19">
        <v>3</v>
      </c>
      <c r="G2" s="19">
        <v>4</v>
      </c>
      <c r="I2"/>
      <c r="J2" s="19">
        <v>2</v>
      </c>
      <c r="K2" s="19">
        <v>3</v>
      </c>
      <c r="L2" s="19">
        <v>4</v>
      </c>
      <c r="M2" s="60" t="s">
        <v>183</v>
      </c>
      <c r="N2" s="24">
        <f aca="true" t="shared" si="0" ref="N2:P3">E2</f>
        <v>2</v>
      </c>
      <c r="O2" s="24">
        <f t="shared" si="0"/>
        <v>3</v>
      </c>
      <c r="P2" s="24">
        <f t="shared" si="0"/>
        <v>4</v>
      </c>
      <c r="Q2" s="48" t="s">
        <v>183</v>
      </c>
      <c r="R2" s="48" t="s">
        <v>183</v>
      </c>
      <c r="U2" s="43">
        <f aca="true" t="shared" si="1" ref="U2:W3">N2</f>
        <v>2</v>
      </c>
      <c r="V2" s="43">
        <f t="shared" si="1"/>
        <v>3</v>
      </c>
      <c r="W2" s="43">
        <f t="shared" si="1"/>
        <v>4</v>
      </c>
      <c r="X2" s="48" t="s">
        <v>183</v>
      </c>
      <c r="AB2" s="24">
        <f aca="true" t="shared" si="2" ref="AB2:AE3">U2</f>
        <v>2</v>
      </c>
      <c r="AC2" s="24">
        <f t="shared" si="2"/>
        <v>3</v>
      </c>
      <c r="AD2" s="24">
        <f t="shared" si="2"/>
        <v>4</v>
      </c>
      <c r="AE2" s="24" t="str">
        <f t="shared" si="2"/>
        <v> 2-4</v>
      </c>
      <c r="AF2" s="24"/>
      <c r="AG2" s="24"/>
      <c r="AI2" s="24">
        <f aca="true" t="shared" si="3" ref="AI2:AL3">AB2</f>
        <v>2</v>
      </c>
      <c r="AJ2" s="24">
        <f t="shared" si="3"/>
        <v>3</v>
      </c>
      <c r="AK2" s="24">
        <f t="shared" si="3"/>
        <v>4</v>
      </c>
      <c r="AL2" s="24" t="str">
        <f t="shared" si="3"/>
        <v> 2-4</v>
      </c>
      <c r="AM2" s="24"/>
      <c r="AN2" s="24"/>
    </row>
    <row r="3" spans="1:41" s="19" customFormat="1" ht="12.75">
      <c r="A3"/>
      <c r="B3" s="16"/>
      <c r="C3" s="18"/>
      <c r="E3" s="43" t="s">
        <v>78</v>
      </c>
      <c r="F3" s="43" t="s">
        <v>79</v>
      </c>
      <c r="G3" s="43" t="s">
        <v>80</v>
      </c>
      <c r="H3" s="22" t="s">
        <v>155</v>
      </c>
      <c r="I3" s="44"/>
      <c r="J3" s="43" t="s">
        <v>78</v>
      </c>
      <c r="K3" s="43" t="s">
        <v>79</v>
      </c>
      <c r="L3" s="43" t="s">
        <v>80</v>
      </c>
      <c r="M3" s="59" t="s">
        <v>44</v>
      </c>
      <c r="N3" s="43" t="str">
        <f t="shared" si="0"/>
        <v>Elektrizität</v>
      </c>
      <c r="O3" s="43" t="str">
        <f t="shared" si="0"/>
        <v>Gas</v>
      </c>
      <c r="P3" s="43" t="str">
        <f t="shared" si="0"/>
        <v>Wasser</v>
      </c>
      <c r="Q3" s="22" t="s">
        <v>184</v>
      </c>
      <c r="R3" s="22"/>
      <c r="U3" s="43" t="str">
        <f t="shared" si="1"/>
        <v>Elektrizität</v>
      </c>
      <c r="V3" s="43" t="str">
        <f t="shared" si="1"/>
        <v>Gas</v>
      </c>
      <c r="W3" s="43" t="str">
        <f t="shared" si="1"/>
        <v>Wasser</v>
      </c>
      <c r="X3" s="22" t="s">
        <v>184</v>
      </c>
      <c r="Y3" s="22"/>
      <c r="AB3" s="43" t="str">
        <f t="shared" si="2"/>
        <v>Elektrizität</v>
      </c>
      <c r="AC3" s="43" t="str">
        <f t="shared" si="2"/>
        <v>Gas</v>
      </c>
      <c r="AD3" s="43" t="str">
        <f t="shared" si="2"/>
        <v>Wasser</v>
      </c>
      <c r="AE3" s="26" t="str">
        <f t="shared" si="2"/>
        <v>Elek Gas Wasser</v>
      </c>
      <c r="AF3" s="26"/>
      <c r="AG3" s="24"/>
      <c r="AH3" s="19" t="s">
        <v>205</v>
      </c>
      <c r="AI3" s="43" t="str">
        <f t="shared" si="3"/>
        <v>Elektrizität</v>
      </c>
      <c r="AJ3" s="43" t="str">
        <f t="shared" si="3"/>
        <v>Gas</v>
      </c>
      <c r="AK3" s="43" t="str">
        <f t="shared" si="3"/>
        <v>Wasser</v>
      </c>
      <c r="AL3" s="43" t="str">
        <f t="shared" si="3"/>
        <v>Elek Gas Wasser</v>
      </c>
      <c r="AM3" s="26"/>
      <c r="AN3" s="24"/>
      <c r="AO3" s="19" t="s">
        <v>205</v>
      </c>
    </row>
    <row r="4" spans="1:38" s="19" customFormat="1" ht="12.75">
      <c r="A4" s="19" t="s">
        <v>206</v>
      </c>
      <c r="B4" s="16"/>
      <c r="C4" s="18"/>
      <c r="Q4" s="46" t="s">
        <v>207</v>
      </c>
      <c r="R4" s="46" t="s">
        <v>185</v>
      </c>
      <c r="S4" s="19" t="s">
        <v>208</v>
      </c>
      <c r="U4" s="43"/>
      <c r="V4" s="43"/>
      <c r="W4" s="43"/>
      <c r="X4" s="50" t="str">
        <f>Q4</f>
        <v>KOF</v>
      </c>
      <c r="Y4" s="50" t="str">
        <f>R4</f>
        <v>LEA</v>
      </c>
      <c r="Z4" s="43" t="str">
        <f>S4</f>
        <v>Diiff zu KOF</v>
      </c>
      <c r="AB4" s="24"/>
      <c r="AC4" s="24"/>
      <c r="AD4" s="24"/>
      <c r="AE4" s="26" t="str">
        <f>X4</f>
        <v>KOF</v>
      </c>
      <c r="AF4" s="26" t="str">
        <f>Y4</f>
        <v>LEA</v>
      </c>
      <c r="AG4" s="24" t="str">
        <f>Z4</f>
        <v>Diiff zu KOF</v>
      </c>
      <c r="AH4" s="19" t="s">
        <v>209</v>
      </c>
      <c r="AI4" s="43"/>
      <c r="AJ4" s="43"/>
      <c r="AK4" s="43"/>
      <c r="AL4" s="43"/>
    </row>
    <row r="5" spans="2:38" s="19" customFormat="1" ht="12.75">
      <c r="B5" s="16">
        <v>1</v>
      </c>
      <c r="C5" s="18" t="s">
        <v>102</v>
      </c>
      <c r="E5" s="25">
        <v>2.8596095135123356E-05</v>
      </c>
      <c r="F5" s="25">
        <v>1.1020376676474803E-05</v>
      </c>
      <c r="G5" s="25">
        <v>0.00022688734446275462</v>
      </c>
      <c r="H5" s="22" t="s">
        <v>144</v>
      </c>
      <c r="I5" s="44"/>
      <c r="J5" s="54">
        <f>EnergNa90!AW41</f>
        <v>1344</v>
      </c>
      <c r="K5" s="54">
        <f>EnergNa90!AW42</f>
        <v>9.900000000000091</v>
      </c>
      <c r="L5" s="54">
        <f>EnergNa90!AW43</f>
        <v>0</v>
      </c>
      <c r="N5" s="27">
        <f>E5*J$13</f>
        <v>0.24273225270679707</v>
      </c>
      <c r="O5" s="27">
        <f>F5*K$13</f>
        <v>0.011345808962074494</v>
      </c>
      <c r="P5" s="27">
        <f>G5*L$13</f>
        <v>0.27811154288265905</v>
      </c>
      <c r="Q5" s="27">
        <f aca="true" t="shared" si="4" ref="Q5:Q44">SUM(N5:P5)</f>
        <v>0.5321896045515306</v>
      </c>
      <c r="R5" s="27">
        <v>0.3567</v>
      </c>
      <c r="S5" s="27">
        <f>R5-Q5</f>
        <v>-0.17548960455153062</v>
      </c>
      <c r="U5" s="27">
        <f>E5*J$13</f>
        <v>0.24273225270679707</v>
      </c>
      <c r="V5" s="27">
        <f>F5*K$13</f>
        <v>0.011345808962074494</v>
      </c>
      <c r="W5" s="27">
        <f>G5*L$13</f>
        <v>0.27811154288265905</v>
      </c>
      <c r="X5" s="27">
        <f aca="true" t="shared" si="5" ref="X5:X44">SUM(U5:W5)</f>
        <v>0.5321896045515306</v>
      </c>
      <c r="Y5" s="27">
        <f>R5</f>
        <v>0.3567</v>
      </c>
      <c r="Z5" s="27">
        <f>Y5-X5</f>
        <v>-0.17548960455153062</v>
      </c>
      <c r="AB5" s="27">
        <f>U5*AB$64/AB$62</f>
        <v>0.2427322527067971</v>
      </c>
      <c r="AC5" s="27">
        <f>V5*AC$64/AC$62</f>
        <v>0.011345808962074494</v>
      </c>
      <c r="AD5" s="27">
        <f>W5*AD$64/AD$62</f>
        <v>0.28847830132323865</v>
      </c>
      <c r="AE5" s="27">
        <f aca="true" t="shared" si="6" ref="AE5:AE44">SUM(AB5:AD5)</f>
        <v>0.5425563629921102</v>
      </c>
      <c r="AF5" s="27">
        <f>R5</f>
        <v>0.3567</v>
      </c>
      <c r="AG5" s="27">
        <f>AF5-AE5</f>
        <v>-0.18585636299211017</v>
      </c>
      <c r="AI5" s="101">
        <f aca="true" t="shared" si="7" ref="AI5:AI21">AB5/AB$61</f>
        <v>2.8661042746212334E-05</v>
      </c>
      <c r="AJ5" s="101">
        <f aca="true" t="shared" si="8" ref="AJ5:AL20">AC5/AC$61</f>
        <v>1.0292488889983271E-05</v>
      </c>
      <c r="AK5" s="101">
        <f t="shared" si="8"/>
        <v>0.0002219503760420766</v>
      </c>
      <c r="AL5" s="101">
        <f t="shared" si="8"/>
        <v>4.9907923936898074E-05</v>
      </c>
    </row>
    <row r="6" spans="2:38" s="19" customFormat="1" ht="12.75">
      <c r="B6" s="16">
        <v>2</v>
      </c>
      <c r="C6" s="18" t="s">
        <v>78</v>
      </c>
      <c r="E6" s="25">
        <v>0.12568664671294696</v>
      </c>
      <c r="F6" s="25">
        <v>0.1358812444209343</v>
      </c>
      <c r="G6" s="25">
        <v>0.21339351818681185</v>
      </c>
      <c r="H6" s="46" t="s">
        <v>210</v>
      </c>
      <c r="I6" s="47"/>
      <c r="J6" s="54"/>
      <c r="K6" s="31"/>
      <c r="L6" s="31"/>
      <c r="N6" s="49">
        <f>EnergNa90!E41</f>
        <v>659.62</v>
      </c>
      <c r="O6" s="49">
        <f>EnergNa90!F41</f>
        <v>18.818922</v>
      </c>
      <c r="P6" s="49">
        <f>EnergNa90!G41</f>
        <v>26.452299999999997</v>
      </c>
      <c r="Q6" s="27">
        <f t="shared" si="4"/>
        <v>704.8912220000001</v>
      </c>
      <c r="R6" s="19">
        <v>1771</v>
      </c>
      <c r="S6" s="27">
        <f>R6-SUM(Q6:Q8)</f>
        <v>708.195475</v>
      </c>
      <c r="T6" s="19" t="s">
        <v>211</v>
      </c>
      <c r="U6" s="27">
        <f aca="true" t="shared" si="9" ref="U6:W8">N6</f>
        <v>659.62</v>
      </c>
      <c r="V6" s="27">
        <f t="shared" si="9"/>
        <v>18.818922</v>
      </c>
      <c r="W6" s="27">
        <f t="shared" si="9"/>
        <v>26.452299999999997</v>
      </c>
      <c r="X6" s="27">
        <f t="shared" si="5"/>
        <v>704.8912220000001</v>
      </c>
      <c r="Y6" s="27">
        <f>R6</f>
        <v>1771</v>
      </c>
      <c r="Z6" s="27">
        <f>Y6-SUM(X6:X8)</f>
        <v>708.195475</v>
      </c>
      <c r="AB6" s="27">
        <f aca="true" t="shared" si="10" ref="AB6:AD8">U6</f>
        <v>659.62</v>
      </c>
      <c r="AC6" s="27">
        <f t="shared" si="10"/>
        <v>18.818922</v>
      </c>
      <c r="AD6" s="27">
        <f t="shared" si="10"/>
        <v>26.452299999999997</v>
      </c>
      <c r="AE6" s="27">
        <f t="shared" si="6"/>
        <v>704.8912220000001</v>
      </c>
      <c r="AF6" s="27">
        <f>R6</f>
        <v>1771</v>
      </c>
      <c r="AG6" s="27">
        <f>AF6-SUM(AE6:AE8)</f>
        <v>708.195475</v>
      </c>
      <c r="AH6" s="19" t="s">
        <v>212</v>
      </c>
      <c r="AI6" s="101">
        <f t="shared" si="7"/>
        <v>0.07788580547263706</v>
      </c>
      <c r="AJ6" s="101">
        <f t="shared" si="8"/>
        <v>0.017071814469459073</v>
      </c>
      <c r="AK6" s="101">
        <f t="shared" si="8"/>
        <v>0.020351956820486416</v>
      </c>
      <c r="AL6" s="101">
        <f t="shared" si="8"/>
        <v>0.06484055831057449</v>
      </c>
    </row>
    <row r="7" spans="2:38" s="19" customFormat="1" ht="12.75">
      <c r="B7" s="16">
        <v>3</v>
      </c>
      <c r="C7" s="18" t="s">
        <v>79</v>
      </c>
      <c r="E7" s="25">
        <v>0.0040143470694449365</v>
      </c>
      <c r="F7" s="25">
        <v>0.33270517186277426</v>
      </c>
      <c r="G7" s="25">
        <v>0</v>
      </c>
      <c r="H7" s="22" t="s">
        <v>213</v>
      </c>
      <c r="I7" s="44"/>
      <c r="J7" s="54">
        <f>EnergNa90!AX41</f>
        <v>8012.084375300362</v>
      </c>
      <c r="K7" s="54">
        <f>EnergNa90!AX42</f>
        <v>1124.8819110175284</v>
      </c>
      <c r="L7" s="54">
        <f>EnergNa90!AX43</f>
        <v>1351.0832779897435</v>
      </c>
      <c r="N7" s="49">
        <f>EnergNa90!E42</f>
        <v>1.393</v>
      </c>
      <c r="O7" s="49">
        <f>EnergNa90!F42</f>
        <v>285.5</v>
      </c>
      <c r="P7" s="49">
        <f>EnergNa90!G42</f>
        <v>1.0203029999999997</v>
      </c>
      <c r="Q7" s="27">
        <f t="shared" si="4"/>
        <v>287.913303</v>
      </c>
      <c r="T7" s="19" t="s">
        <v>214</v>
      </c>
      <c r="U7" s="27">
        <f t="shared" si="9"/>
        <v>1.393</v>
      </c>
      <c r="V7" s="27">
        <f t="shared" si="9"/>
        <v>285.5</v>
      </c>
      <c r="W7" s="27">
        <f t="shared" si="9"/>
        <v>1.0203029999999997</v>
      </c>
      <c r="X7" s="27">
        <f t="shared" si="5"/>
        <v>287.913303</v>
      </c>
      <c r="Y7" s="27"/>
      <c r="Z7" s="27"/>
      <c r="AB7" s="27">
        <f t="shared" si="10"/>
        <v>1.393</v>
      </c>
      <c r="AC7" s="27">
        <f t="shared" si="10"/>
        <v>285.5</v>
      </c>
      <c r="AD7" s="27">
        <f t="shared" si="10"/>
        <v>1.0203029999999997</v>
      </c>
      <c r="AE7" s="27">
        <f t="shared" si="6"/>
        <v>287.913303</v>
      </c>
      <c r="AF7" s="27"/>
      <c r="AH7" s="19" t="s">
        <v>212</v>
      </c>
      <c r="AI7" s="101">
        <f t="shared" si="7"/>
        <v>0.00016448095422119316</v>
      </c>
      <c r="AJ7" s="101">
        <f t="shared" si="8"/>
        <v>0.2589948048581404</v>
      </c>
      <c r="AK7" s="101">
        <f t="shared" si="8"/>
        <v>0.0007850040487901902</v>
      </c>
      <c r="AL7" s="101">
        <f t="shared" si="8"/>
        <v>0.026484170505901967</v>
      </c>
    </row>
    <row r="8" spans="2:38" s="19" customFormat="1" ht="12.75">
      <c r="B8" s="16">
        <v>4</v>
      </c>
      <c r="C8" s="18" t="s">
        <v>80</v>
      </c>
      <c r="E8" s="25">
        <v>0</v>
      </c>
      <c r="F8" s="25">
        <v>0</v>
      </c>
      <c r="G8" s="25">
        <v>0.0013493826275942774</v>
      </c>
      <c r="H8" s="22"/>
      <c r="I8" s="44"/>
      <c r="J8" s="31"/>
      <c r="K8" s="31"/>
      <c r="L8" s="31"/>
      <c r="M8"/>
      <c r="N8" s="49">
        <f>EnergNa90!E43</f>
        <v>5</v>
      </c>
      <c r="O8" s="49">
        <f>EnergNa90!F43</f>
        <v>3</v>
      </c>
      <c r="P8" s="49">
        <f>EnergNa90!G43</f>
        <v>62</v>
      </c>
      <c r="Q8" s="27">
        <f t="shared" si="4"/>
        <v>70</v>
      </c>
      <c r="T8" s="19" t="s">
        <v>215</v>
      </c>
      <c r="U8" s="27">
        <f t="shared" si="9"/>
        <v>5</v>
      </c>
      <c r="V8" s="27">
        <f t="shared" si="9"/>
        <v>3</v>
      </c>
      <c r="W8" s="27">
        <f t="shared" si="9"/>
        <v>62</v>
      </c>
      <c r="X8" s="27">
        <f t="shared" si="5"/>
        <v>70</v>
      </c>
      <c r="Y8" s="27"/>
      <c r="Z8" s="27"/>
      <c r="AB8" s="27">
        <f t="shared" si="10"/>
        <v>5</v>
      </c>
      <c r="AC8" s="27">
        <f t="shared" si="10"/>
        <v>3</v>
      </c>
      <c r="AD8" s="27">
        <f t="shared" si="10"/>
        <v>62</v>
      </c>
      <c r="AE8" s="27">
        <f t="shared" si="6"/>
        <v>70</v>
      </c>
      <c r="AF8" s="27"/>
      <c r="AH8" s="19" t="s">
        <v>212</v>
      </c>
      <c r="AI8" s="101">
        <f t="shared" si="7"/>
        <v>0.0005903838988556825</v>
      </c>
      <c r="AJ8" s="101">
        <f t="shared" si="8"/>
        <v>0.002721486565934925</v>
      </c>
      <c r="AK8" s="101">
        <f t="shared" si="8"/>
        <v>0.04770176214809895</v>
      </c>
      <c r="AL8" s="101">
        <f t="shared" si="8"/>
        <v>0.0064390631349644095</v>
      </c>
    </row>
    <row r="9" spans="2:38" s="19" customFormat="1" ht="12.75">
      <c r="B9" s="16">
        <v>5</v>
      </c>
      <c r="C9" s="18" t="s">
        <v>103</v>
      </c>
      <c r="E9" s="25">
        <v>0.0030883782745933226</v>
      </c>
      <c r="F9" s="25">
        <v>0.006502022239120134</v>
      </c>
      <c r="G9" s="25">
        <v>0.0028659454037400583</v>
      </c>
      <c r="H9" s="45" t="s">
        <v>216</v>
      </c>
      <c r="I9" s="44"/>
      <c r="J9" s="56">
        <f>SUM(J5:J7)</f>
        <v>9356.084375300361</v>
      </c>
      <c r="K9" s="56">
        <f>SUM(K5:K7)</f>
        <v>1134.7819110175285</v>
      </c>
      <c r="L9" s="56">
        <f>SUM(L5:L7)</f>
        <v>1351.0832779897435</v>
      </c>
      <c r="M9" s="29">
        <f>SUM(J9:L9)</f>
        <v>11841.949564307632</v>
      </c>
      <c r="N9" s="27">
        <f aca="true" t="shared" si="11" ref="N9:P28">E9*J$13</f>
        <v>26.215083292334086</v>
      </c>
      <c r="O9" s="27">
        <f t="shared" si="11"/>
        <v>6.6940272876239515</v>
      </c>
      <c r="P9" s="27">
        <f t="shared" si="11"/>
        <v>3.512987910096746</v>
      </c>
      <c r="Q9" s="27">
        <f t="shared" si="4"/>
        <v>36.422098490054786</v>
      </c>
      <c r="R9" s="27">
        <v>44.78</v>
      </c>
      <c r="S9" s="27">
        <f>R9-Q9</f>
        <v>8.357901509945215</v>
      </c>
      <c r="T9" s="19" t="s">
        <v>217</v>
      </c>
      <c r="U9" s="27">
        <f>E9*J$13*($R9+$S9)/$R9</f>
        <v>31.107961457415342</v>
      </c>
      <c r="V9" s="27">
        <f>F9*K$13*($R9+$S9)/$R9</f>
        <v>7.9434248038107915</v>
      </c>
      <c r="W9" s="27">
        <f>G9*L$13*($R9+$S9)/$R9</f>
        <v>4.168664706841205</v>
      </c>
      <c r="X9" s="27">
        <f t="shared" si="5"/>
        <v>43.22005096806734</v>
      </c>
      <c r="Y9" s="27">
        <f aca="true" t="shared" si="12" ref="Y9:Y44">R9</f>
        <v>44.78</v>
      </c>
      <c r="Z9" s="27">
        <f>Y9-X9</f>
        <v>1.5599490319326605</v>
      </c>
      <c r="AB9" s="27">
        <f aca="true" t="shared" si="13" ref="AB9:AB19">U9*AB$64/AB$62</f>
        <v>31.10796145741535</v>
      </c>
      <c r="AC9" s="27">
        <f aca="true" t="shared" si="14" ref="AC9:AC19">V9*AC$64/AC$62</f>
        <v>7.943424803810792</v>
      </c>
      <c r="AD9" s="27">
        <f aca="true" t="shared" si="15" ref="AD9:AD19">W9*AD$64/AD$62</f>
        <v>4.3240539423531805</v>
      </c>
      <c r="AE9" s="27">
        <f t="shared" si="6"/>
        <v>43.37544020357932</v>
      </c>
      <c r="AF9" s="27">
        <f aca="true" t="shared" si="16" ref="AF9:AF44">R9</f>
        <v>44.78</v>
      </c>
      <c r="AG9" s="27">
        <f aca="true" t="shared" si="17" ref="AG9:AG44">AF9-AE9</f>
        <v>1.4045597964206777</v>
      </c>
      <c r="AI9" s="101">
        <f t="shared" si="7"/>
        <v>0.003673127914136235</v>
      </c>
      <c r="AJ9" s="101">
        <f t="shared" si="8"/>
        <v>0.0072059746303617805</v>
      </c>
      <c r="AK9" s="101">
        <f t="shared" si="8"/>
        <v>0.0033268547205432416</v>
      </c>
      <c r="AL9" s="101">
        <f t="shared" si="8"/>
        <v>0.003989959971110297</v>
      </c>
    </row>
    <row r="10" spans="2:38" s="19" customFormat="1" ht="12.75">
      <c r="B10" s="16">
        <v>6</v>
      </c>
      <c r="C10" s="18" t="s">
        <v>104</v>
      </c>
      <c r="E10" s="25">
        <v>8.851172303728658E-05</v>
      </c>
      <c r="F10" s="25">
        <v>0</v>
      </c>
      <c r="G10" s="25">
        <v>0</v>
      </c>
      <c r="H10" s="45" t="s">
        <v>184</v>
      </c>
      <c r="I10" s="44"/>
      <c r="J10"/>
      <c r="K10"/>
      <c r="L10"/>
      <c r="M10"/>
      <c r="N10" s="27">
        <f t="shared" si="11"/>
        <v>0.7513141155210386</v>
      </c>
      <c r="O10" s="27">
        <f t="shared" si="11"/>
        <v>0</v>
      </c>
      <c r="P10" s="27">
        <f t="shared" si="11"/>
        <v>0</v>
      </c>
      <c r="Q10" s="27">
        <f t="shared" si="4"/>
        <v>0.7513141155210386</v>
      </c>
      <c r="R10" s="27">
        <v>1.28099999999999</v>
      </c>
      <c r="S10" s="27">
        <f aca="true" t="shared" si="18" ref="S10:S24">R10-Q10</f>
        <v>0.5296858844789514</v>
      </c>
      <c r="U10" s="27">
        <f aca="true" t="shared" si="19" ref="U10:W22">E10*J$13</f>
        <v>0.7513141155210386</v>
      </c>
      <c r="V10" s="27">
        <f t="shared" si="19"/>
        <v>0</v>
      </c>
      <c r="W10" s="27">
        <f t="shared" si="19"/>
        <v>0</v>
      </c>
      <c r="X10" s="27">
        <f t="shared" si="5"/>
        <v>0.7513141155210386</v>
      </c>
      <c r="Y10" s="27">
        <f t="shared" si="12"/>
        <v>1.28099999999999</v>
      </c>
      <c r="Z10" s="27">
        <f aca="true" t="shared" si="20" ref="Z10:Z24">Y10-X10</f>
        <v>0.5296858844789514</v>
      </c>
      <c r="AB10" s="27">
        <f t="shared" si="13"/>
        <v>0.7513141155210387</v>
      </c>
      <c r="AC10" s="27">
        <f t="shared" si="14"/>
        <v>0</v>
      </c>
      <c r="AD10" s="27">
        <f t="shared" si="15"/>
        <v>0</v>
      </c>
      <c r="AE10" s="27">
        <f t="shared" si="6"/>
        <v>0.7513141155210387</v>
      </c>
      <c r="AF10" s="27">
        <f t="shared" si="16"/>
        <v>1.28099999999999</v>
      </c>
      <c r="AG10" s="27">
        <f t="shared" si="17"/>
        <v>0.5296858844789513</v>
      </c>
      <c r="AI10" s="101">
        <f t="shared" si="7"/>
        <v>8.871275135732389E-05</v>
      </c>
      <c r="AJ10" s="101">
        <f t="shared" si="8"/>
        <v>0</v>
      </c>
      <c r="AK10" s="101">
        <f t="shared" si="8"/>
        <v>0</v>
      </c>
      <c r="AL10" s="101">
        <f t="shared" si="8"/>
        <v>6.911084320042731E-05</v>
      </c>
    </row>
    <row r="11" spans="2:38" s="19" customFormat="1" ht="12.75">
      <c r="B11" s="16">
        <v>7</v>
      </c>
      <c r="C11" s="18" t="s">
        <v>105</v>
      </c>
      <c r="E11" s="25">
        <v>0.00023830079279269466</v>
      </c>
      <c r="F11" s="25">
        <v>0</v>
      </c>
      <c r="G11" s="25">
        <v>0</v>
      </c>
      <c r="H11" s="22" t="s">
        <v>218</v>
      </c>
      <c r="I11" s="44"/>
      <c r="J11" s="57"/>
      <c r="K11" s="57"/>
      <c r="L11" s="57"/>
      <c r="M11" s="57">
        <f>M13/M9</f>
        <v>0.9072492617585431</v>
      </c>
      <c r="N11" s="27">
        <f t="shared" si="11"/>
        <v>2.0227687725566423</v>
      </c>
      <c r="O11" s="27">
        <f t="shared" si="11"/>
        <v>0</v>
      </c>
      <c r="P11" s="27">
        <f t="shared" si="11"/>
        <v>0</v>
      </c>
      <c r="Q11" s="27">
        <f t="shared" si="4"/>
        <v>2.0227687725566423</v>
      </c>
      <c r="R11" s="27">
        <v>0.8377</v>
      </c>
      <c r="S11" s="27">
        <f t="shared" si="18"/>
        <v>-1.1850687725566424</v>
      </c>
      <c r="U11" s="27">
        <f t="shared" si="19"/>
        <v>2.0227687725566423</v>
      </c>
      <c r="V11" s="27">
        <f t="shared" si="19"/>
        <v>0</v>
      </c>
      <c r="W11" s="27">
        <f t="shared" si="19"/>
        <v>0</v>
      </c>
      <c r="X11" s="27">
        <f t="shared" si="5"/>
        <v>2.0227687725566423</v>
      </c>
      <c r="Y11" s="27">
        <f t="shared" si="12"/>
        <v>0.8377</v>
      </c>
      <c r="Z11" s="27">
        <f t="shared" si="20"/>
        <v>-1.1850687725566424</v>
      </c>
      <c r="AB11" s="27">
        <f t="shared" si="13"/>
        <v>2.0227687725566423</v>
      </c>
      <c r="AC11" s="27">
        <f t="shared" si="14"/>
        <v>0</v>
      </c>
      <c r="AD11" s="27">
        <f t="shared" si="15"/>
        <v>0</v>
      </c>
      <c r="AE11" s="27">
        <f t="shared" si="6"/>
        <v>2.0227687725566423</v>
      </c>
      <c r="AF11" s="27">
        <f t="shared" si="16"/>
        <v>0.8377</v>
      </c>
      <c r="AG11" s="27">
        <f t="shared" si="17"/>
        <v>-1.1850687725566424</v>
      </c>
      <c r="AI11" s="101">
        <f t="shared" si="7"/>
        <v>0.00023884202288510276</v>
      </c>
      <c r="AJ11" s="101">
        <f t="shared" si="8"/>
        <v>0</v>
      </c>
      <c r="AK11" s="101">
        <f t="shared" si="8"/>
        <v>0</v>
      </c>
      <c r="AL11" s="101">
        <f t="shared" si="8"/>
        <v>0.0001860676547703812</v>
      </c>
    </row>
    <row r="12" spans="2:38" s="19" customFormat="1" ht="12.75">
      <c r="B12" s="19">
        <v>8</v>
      </c>
      <c r="C12" s="19" t="s">
        <v>106</v>
      </c>
      <c r="E12" s="25">
        <v>0.0005038359619045545</v>
      </c>
      <c r="F12" s="25">
        <v>0.00011020376676474802</v>
      </c>
      <c r="G12" s="25">
        <v>0.0003582431754675073</v>
      </c>
      <c r="H12"/>
      <c r="I12"/>
      <c r="J12"/>
      <c r="K12"/>
      <c r="L12"/>
      <c r="M12"/>
      <c r="N12" s="27">
        <f t="shared" si="11"/>
        <v>4.276711119119759</v>
      </c>
      <c r="O12" s="27">
        <f t="shared" si="11"/>
        <v>0.11345808962074493</v>
      </c>
      <c r="P12" s="27">
        <f t="shared" si="11"/>
        <v>0.43912348876209323</v>
      </c>
      <c r="Q12" s="27">
        <f t="shared" si="4"/>
        <v>4.829292697502598</v>
      </c>
      <c r="R12" s="27">
        <v>2.61799999999999</v>
      </c>
      <c r="S12" s="27">
        <f t="shared" si="18"/>
        <v>-2.2112926975026075</v>
      </c>
      <c r="U12" s="27">
        <f t="shared" si="19"/>
        <v>4.276711119119759</v>
      </c>
      <c r="V12" s="27">
        <f t="shared" si="19"/>
        <v>0.11345808962074493</v>
      </c>
      <c r="W12" s="27">
        <f t="shared" si="19"/>
        <v>0.43912348876209323</v>
      </c>
      <c r="X12" s="27">
        <f t="shared" si="5"/>
        <v>4.829292697502598</v>
      </c>
      <c r="Y12" s="27">
        <f t="shared" si="12"/>
        <v>2.61799999999999</v>
      </c>
      <c r="Z12" s="27">
        <f t="shared" si="20"/>
        <v>-2.2112926975026075</v>
      </c>
      <c r="AB12" s="27">
        <f t="shared" si="13"/>
        <v>4.276711119119759</v>
      </c>
      <c r="AC12" s="27">
        <f t="shared" si="14"/>
        <v>0.11345808962074493</v>
      </c>
      <c r="AD12" s="27">
        <f t="shared" si="15"/>
        <v>0.45549205472090315</v>
      </c>
      <c r="AE12" s="27">
        <f t="shared" si="6"/>
        <v>4.845661263461407</v>
      </c>
      <c r="AF12" s="27">
        <f t="shared" si="16"/>
        <v>2.61799999999999</v>
      </c>
      <c r="AG12" s="27">
        <f t="shared" si="17"/>
        <v>-2.227661263461417</v>
      </c>
      <c r="AI12" s="101">
        <f t="shared" si="7"/>
        <v>0.0005049802769570745</v>
      </c>
      <c r="AJ12" s="101">
        <f t="shared" si="8"/>
        <v>0.0001029248888998327</v>
      </c>
      <c r="AK12" s="101">
        <f t="shared" si="8"/>
        <v>0.0003504479621716999</v>
      </c>
      <c r="AL12" s="101">
        <f t="shared" si="8"/>
        <v>0.00044573598294399156</v>
      </c>
    </row>
    <row r="13" spans="2:38" s="19" customFormat="1" ht="12.75">
      <c r="B13" s="19">
        <v>9</v>
      </c>
      <c r="C13" s="19" t="s">
        <v>107</v>
      </c>
      <c r="E13" s="25">
        <v>4.902187737449718E-05</v>
      </c>
      <c r="F13" s="25">
        <v>0</v>
      </c>
      <c r="G13" s="25">
        <v>0.0003582431754675073</v>
      </c>
      <c r="H13" s="45" t="s">
        <v>219</v>
      </c>
      <c r="I13" s="44"/>
      <c r="J13" s="29">
        <f>(EnergNa90!AW41+EnergNa90!AX41)*M11</f>
        <v>8488.300642441893</v>
      </c>
      <c r="K13" s="29">
        <f>(EnergNa90!AW42+EnergNa90!AX42)*M11</f>
        <v>1029.5300510276015</v>
      </c>
      <c r="L13" s="29">
        <f>(EnergNa90!AW43+EnergNa90!AX43)*M11</f>
        <v>1225.7693065305073</v>
      </c>
      <c r="M13" s="29">
        <v>10743.6</v>
      </c>
      <c r="N13" s="27">
        <f t="shared" si="11"/>
        <v>0.41611243321165214</v>
      </c>
      <c r="O13" s="27">
        <f t="shared" si="11"/>
        <v>0</v>
      </c>
      <c r="P13" s="27">
        <f t="shared" si="11"/>
        <v>0.43912348876209323</v>
      </c>
      <c r="Q13" s="27">
        <f t="shared" si="4"/>
        <v>0.8552359219737453</v>
      </c>
      <c r="R13" s="27">
        <v>0.5333</v>
      </c>
      <c r="S13" s="27">
        <f t="shared" si="18"/>
        <v>-0.3219359219737453</v>
      </c>
      <c r="U13" s="27">
        <f t="shared" si="19"/>
        <v>0.41611243321165214</v>
      </c>
      <c r="V13" s="27">
        <f t="shared" si="19"/>
        <v>0</v>
      </c>
      <c r="W13" s="27">
        <f t="shared" si="19"/>
        <v>0.43912348876209323</v>
      </c>
      <c r="X13" s="27">
        <f t="shared" si="5"/>
        <v>0.8552359219737453</v>
      </c>
      <c r="Y13" s="27">
        <f t="shared" si="12"/>
        <v>0.5333</v>
      </c>
      <c r="Z13" s="27">
        <f t="shared" si="20"/>
        <v>-0.3219359219737453</v>
      </c>
      <c r="AB13" s="27">
        <f t="shared" si="13"/>
        <v>0.4161124332116522</v>
      </c>
      <c r="AC13" s="27">
        <f t="shared" si="14"/>
        <v>0</v>
      </c>
      <c r="AD13" s="27">
        <f t="shared" si="15"/>
        <v>0.45549205472090315</v>
      </c>
      <c r="AE13" s="27">
        <f t="shared" si="6"/>
        <v>0.8716044879325553</v>
      </c>
      <c r="AF13" s="27">
        <f t="shared" si="16"/>
        <v>0.5333</v>
      </c>
      <c r="AG13" s="27">
        <f t="shared" si="17"/>
        <v>-0.3383044879325553</v>
      </c>
      <c r="AI13" s="101">
        <f t="shared" si="7"/>
        <v>4.9133216136364007E-05</v>
      </c>
      <c r="AJ13" s="101">
        <f t="shared" si="8"/>
        <v>0</v>
      </c>
      <c r="AK13" s="101">
        <f t="shared" si="8"/>
        <v>0.0003504479621716999</v>
      </c>
      <c r="AL13" s="101">
        <f t="shared" si="8"/>
        <v>8.017594752165783E-05</v>
      </c>
    </row>
    <row r="14" spans="2:38" s="19" customFormat="1" ht="12.75">
      <c r="B14" s="19">
        <v>10</v>
      </c>
      <c r="C14" s="19" t="s">
        <v>108</v>
      </c>
      <c r="E14" s="25">
        <v>0.000923245357219697</v>
      </c>
      <c r="F14" s="25">
        <v>0</v>
      </c>
      <c r="G14" s="25">
        <v>0</v>
      </c>
      <c r="N14" s="27">
        <f t="shared" si="11"/>
        <v>7.836784158819449</v>
      </c>
      <c r="O14" s="27">
        <f t="shared" si="11"/>
        <v>0</v>
      </c>
      <c r="P14" s="27">
        <f t="shared" si="11"/>
        <v>0</v>
      </c>
      <c r="Q14" s="27">
        <f t="shared" si="4"/>
        <v>7.836784158819449</v>
      </c>
      <c r="R14" s="27">
        <v>4.086</v>
      </c>
      <c r="S14" s="27">
        <f t="shared" si="18"/>
        <v>-3.7507841588194486</v>
      </c>
      <c r="U14" s="27">
        <f t="shared" si="19"/>
        <v>7.836784158819449</v>
      </c>
      <c r="V14" s="27">
        <f t="shared" si="19"/>
        <v>0</v>
      </c>
      <c r="W14" s="27">
        <f t="shared" si="19"/>
        <v>0</v>
      </c>
      <c r="X14" s="27">
        <f t="shared" si="5"/>
        <v>7.836784158819449</v>
      </c>
      <c r="Y14" s="27">
        <f t="shared" si="12"/>
        <v>4.086</v>
      </c>
      <c r="Z14" s="27">
        <f t="shared" si="20"/>
        <v>-3.7507841588194486</v>
      </c>
      <c r="AB14" s="27">
        <f t="shared" si="13"/>
        <v>7.83678415881945</v>
      </c>
      <c r="AC14" s="27">
        <f t="shared" si="14"/>
        <v>0</v>
      </c>
      <c r="AD14" s="27">
        <f t="shared" si="15"/>
        <v>0</v>
      </c>
      <c r="AE14" s="27">
        <f t="shared" si="6"/>
        <v>7.83678415881945</v>
      </c>
      <c r="AF14" s="27">
        <f t="shared" si="16"/>
        <v>4.086</v>
      </c>
      <c r="AG14" s="27">
        <f t="shared" si="17"/>
        <v>-3.7507841588194495</v>
      </c>
      <c r="AI14" s="101">
        <f t="shared" si="7"/>
        <v>0.0009253422372348555</v>
      </c>
      <c r="AJ14" s="101">
        <f t="shared" si="8"/>
        <v>0</v>
      </c>
      <c r="AK14" s="101">
        <f t="shared" si="8"/>
        <v>0</v>
      </c>
      <c r="AL14" s="101">
        <f t="shared" si="8"/>
        <v>0.0007208792567675341</v>
      </c>
    </row>
    <row r="15" spans="2:38" s="19" customFormat="1" ht="12.75">
      <c r="B15" s="19">
        <v>11</v>
      </c>
      <c r="C15" s="19" t="s">
        <v>109</v>
      </c>
      <c r="E15" s="25">
        <v>0.00041123908241939307</v>
      </c>
      <c r="F15" s="25">
        <v>0</v>
      </c>
      <c r="G15" s="25">
        <v>0.001671801485515034</v>
      </c>
      <c r="H15" s="45" t="s">
        <v>220</v>
      </c>
      <c r="I15" s="45"/>
      <c r="J15" s="27">
        <f>J13-J5</f>
        <v>7144.300642441893</v>
      </c>
      <c r="K15" s="27">
        <f>K13-K5</f>
        <v>1019.6300510276014</v>
      </c>
      <c r="L15" s="27">
        <f>L13-L5</f>
        <v>1225.7693065305073</v>
      </c>
      <c r="M15" s="58">
        <f>SUM(J15:L15)</f>
        <v>9389.7</v>
      </c>
      <c r="N15" s="27">
        <f t="shared" si="11"/>
        <v>3.4907209674977486</v>
      </c>
      <c r="O15" s="27">
        <f t="shared" si="11"/>
        <v>0</v>
      </c>
      <c r="P15" s="27">
        <f t="shared" si="11"/>
        <v>2.049242947556435</v>
      </c>
      <c r="Q15" s="27">
        <f t="shared" si="4"/>
        <v>5.539963915054184</v>
      </c>
      <c r="R15" s="27">
        <v>3.63499999999999</v>
      </c>
      <c r="S15" s="27">
        <f t="shared" si="18"/>
        <v>-1.9049639150541937</v>
      </c>
      <c r="U15" s="27">
        <f t="shared" si="19"/>
        <v>3.4907209674977486</v>
      </c>
      <c r="V15" s="27">
        <f t="shared" si="19"/>
        <v>0</v>
      </c>
      <c r="W15" s="27">
        <f t="shared" si="19"/>
        <v>2.049242947556435</v>
      </c>
      <c r="X15" s="27">
        <f t="shared" si="5"/>
        <v>5.539963915054184</v>
      </c>
      <c r="Y15" s="27">
        <f t="shared" si="12"/>
        <v>3.63499999999999</v>
      </c>
      <c r="Z15" s="27">
        <f t="shared" si="20"/>
        <v>-1.9049639150541937</v>
      </c>
      <c r="AB15" s="27">
        <f t="shared" si="13"/>
        <v>3.490720967497749</v>
      </c>
      <c r="AC15" s="27">
        <f t="shared" si="14"/>
        <v>0</v>
      </c>
      <c r="AD15" s="27">
        <f t="shared" si="15"/>
        <v>2.125629588697548</v>
      </c>
      <c r="AE15" s="27">
        <f t="shared" si="6"/>
        <v>5.616350556195297</v>
      </c>
      <c r="AF15" s="27">
        <f t="shared" si="16"/>
        <v>3.63499999999999</v>
      </c>
      <c r="AG15" s="27">
        <f t="shared" si="17"/>
        <v>-1.9813505561953066</v>
      </c>
      <c r="AI15" s="101">
        <f t="shared" si="7"/>
        <v>0.0004121730909217203</v>
      </c>
      <c r="AJ15" s="101">
        <f t="shared" si="8"/>
        <v>0</v>
      </c>
      <c r="AK15" s="101">
        <f t="shared" si="8"/>
        <v>0.001635423823467933</v>
      </c>
      <c r="AL15" s="101">
        <f t="shared" si="8"/>
        <v>0.0005166290831347713</v>
      </c>
    </row>
    <row r="16" spans="2:38" s="19" customFormat="1" ht="12.75">
      <c r="B16" s="19">
        <v>12</v>
      </c>
      <c r="C16" s="19" t="s">
        <v>110</v>
      </c>
      <c r="E16" s="25">
        <v>0.0003131953276703987</v>
      </c>
      <c r="F16" s="25">
        <v>0</v>
      </c>
      <c r="G16" s="25">
        <v>0.005015404456545102</v>
      </c>
      <c r="H16" s="45" t="s">
        <v>221</v>
      </c>
      <c r="I16" s="22"/>
      <c r="N16" s="27">
        <f t="shared" si="11"/>
        <v>2.6584961010744443</v>
      </c>
      <c r="O16" s="27">
        <f t="shared" si="11"/>
        <v>0</v>
      </c>
      <c r="P16" s="27">
        <f t="shared" si="11"/>
        <v>6.147728842669306</v>
      </c>
      <c r="Q16" s="27">
        <f t="shared" si="4"/>
        <v>8.80622494374375</v>
      </c>
      <c r="R16" s="27">
        <v>5.714</v>
      </c>
      <c r="S16" s="27">
        <f t="shared" si="18"/>
        <v>-3.0922249437437497</v>
      </c>
      <c r="U16" s="27">
        <f t="shared" si="19"/>
        <v>2.6584961010744443</v>
      </c>
      <c r="V16" s="27">
        <f t="shared" si="19"/>
        <v>0</v>
      </c>
      <c r="W16" s="27">
        <f t="shared" si="19"/>
        <v>6.147728842669306</v>
      </c>
      <c r="X16" s="27">
        <f t="shared" si="5"/>
        <v>8.80622494374375</v>
      </c>
      <c r="Y16" s="27">
        <f t="shared" si="12"/>
        <v>5.714</v>
      </c>
      <c r="Z16" s="27">
        <f t="shared" si="20"/>
        <v>-3.0922249437437497</v>
      </c>
      <c r="AB16" s="27">
        <f t="shared" si="13"/>
        <v>2.658496101074445</v>
      </c>
      <c r="AC16" s="27">
        <f t="shared" si="14"/>
        <v>0</v>
      </c>
      <c r="AD16" s="27">
        <f t="shared" si="15"/>
        <v>6.3768887660926445</v>
      </c>
      <c r="AE16" s="27">
        <f t="shared" si="6"/>
        <v>9.035384867167089</v>
      </c>
      <c r="AF16" s="27">
        <f t="shared" si="16"/>
        <v>5.714</v>
      </c>
      <c r="AG16" s="27">
        <f t="shared" si="17"/>
        <v>-3.3213848671670885</v>
      </c>
      <c r="AI16" s="101">
        <f t="shared" si="7"/>
        <v>0.00031390665864899225</v>
      </c>
      <c r="AJ16" s="101">
        <f t="shared" si="8"/>
        <v>0</v>
      </c>
      <c r="AK16" s="101">
        <f t="shared" si="8"/>
        <v>0.004906271470403799</v>
      </c>
      <c r="AL16" s="101">
        <f t="shared" si="8"/>
        <v>0.0008311344801198699</v>
      </c>
    </row>
    <row r="17" spans="2:38" s="19" customFormat="1" ht="12.75">
      <c r="B17" s="19">
        <v>13</v>
      </c>
      <c r="C17" s="19" t="s">
        <v>111</v>
      </c>
      <c r="E17" s="25">
        <v>0.0006536250316599624</v>
      </c>
      <c r="F17" s="25">
        <v>0</v>
      </c>
      <c r="G17" s="25">
        <v>0.0007164863509350146</v>
      </c>
      <c r="N17" s="27">
        <f t="shared" si="11"/>
        <v>5.548165776155361</v>
      </c>
      <c r="O17" s="27">
        <f t="shared" si="11"/>
        <v>0</v>
      </c>
      <c r="P17" s="27">
        <f t="shared" si="11"/>
        <v>0.8782469775241865</v>
      </c>
      <c r="Q17" s="27">
        <f t="shared" si="4"/>
        <v>6.426412753679548</v>
      </c>
      <c r="R17" s="27">
        <v>6.41899999999999</v>
      </c>
      <c r="S17" s="27">
        <f t="shared" si="18"/>
        <v>-0.007412753679558293</v>
      </c>
      <c r="U17" s="27">
        <f t="shared" si="19"/>
        <v>5.548165776155361</v>
      </c>
      <c r="V17" s="27">
        <f t="shared" si="19"/>
        <v>0</v>
      </c>
      <c r="W17" s="27">
        <f t="shared" si="19"/>
        <v>0.8782469775241865</v>
      </c>
      <c r="X17" s="27">
        <f t="shared" si="5"/>
        <v>6.426412753679548</v>
      </c>
      <c r="Y17" s="27">
        <f t="shared" si="12"/>
        <v>6.41899999999999</v>
      </c>
      <c r="Z17" s="27">
        <f t="shared" si="20"/>
        <v>-0.007412753679558293</v>
      </c>
      <c r="AB17" s="27">
        <f t="shared" si="13"/>
        <v>5.548165776155361</v>
      </c>
      <c r="AC17" s="27">
        <f t="shared" si="14"/>
        <v>0</v>
      </c>
      <c r="AD17" s="27">
        <f t="shared" si="15"/>
        <v>0.9109841094418063</v>
      </c>
      <c r="AE17" s="27">
        <f t="shared" si="6"/>
        <v>6.459149885597167</v>
      </c>
      <c r="AF17" s="27">
        <f t="shared" si="16"/>
        <v>6.41899999999999</v>
      </c>
      <c r="AG17" s="27">
        <f t="shared" si="17"/>
        <v>-0.04014988559717736</v>
      </c>
      <c r="AI17" s="101">
        <f t="shared" si="7"/>
        <v>0.0006551095484848532</v>
      </c>
      <c r="AJ17" s="101">
        <f t="shared" si="8"/>
        <v>0</v>
      </c>
      <c r="AK17" s="101">
        <f t="shared" si="8"/>
        <v>0.0007008959243433998</v>
      </c>
      <c r="AL17" s="101">
        <f t="shared" si="8"/>
        <v>0.00059415534159369</v>
      </c>
    </row>
    <row r="18" spans="2:38" s="19" customFormat="1" ht="12.75">
      <c r="B18" s="19">
        <v>14</v>
      </c>
      <c r="C18" s="19" t="s">
        <v>112</v>
      </c>
      <c r="E18" s="25">
        <v>0.0012704836552890522</v>
      </c>
      <c r="F18" s="25">
        <v>0.00011020376676474802</v>
      </c>
      <c r="G18" s="25">
        <v>0.0003582431754675073</v>
      </c>
      <c r="J18" s="19">
        <v>2</v>
      </c>
      <c r="K18" s="19">
        <v>3</v>
      </c>
      <c r="L18" s="19">
        <v>4</v>
      </c>
      <c r="N18" s="27">
        <f t="shared" si="11"/>
        <v>10.784247227401986</v>
      </c>
      <c r="O18" s="27">
        <f t="shared" si="11"/>
        <v>0.11345808962074493</v>
      </c>
      <c r="P18" s="27">
        <f t="shared" si="11"/>
        <v>0.43912348876209323</v>
      </c>
      <c r="Q18" s="27">
        <f t="shared" si="4"/>
        <v>11.336828805784823</v>
      </c>
      <c r="R18" s="27">
        <v>13.57</v>
      </c>
      <c r="S18" s="27">
        <f t="shared" si="18"/>
        <v>2.2331711942151777</v>
      </c>
      <c r="U18" s="27">
        <f t="shared" si="19"/>
        <v>10.784247227401986</v>
      </c>
      <c r="V18" s="27">
        <f t="shared" si="19"/>
        <v>0.11345808962074493</v>
      </c>
      <c r="W18" s="27">
        <f t="shared" si="19"/>
        <v>0.43912348876209323</v>
      </c>
      <c r="X18" s="27">
        <f t="shared" si="5"/>
        <v>11.336828805784823</v>
      </c>
      <c r="Y18" s="27">
        <f t="shared" si="12"/>
        <v>13.57</v>
      </c>
      <c r="Z18" s="27">
        <f t="shared" si="20"/>
        <v>2.2331711942151777</v>
      </c>
      <c r="AB18" s="27">
        <f t="shared" si="13"/>
        <v>10.784247227401986</v>
      </c>
      <c r="AC18" s="27">
        <f t="shared" si="14"/>
        <v>0.11345808962074493</v>
      </c>
      <c r="AD18" s="27">
        <f t="shared" si="15"/>
        <v>0.45549205472090315</v>
      </c>
      <c r="AE18" s="27">
        <f t="shared" si="6"/>
        <v>11.353197371743633</v>
      </c>
      <c r="AF18" s="27">
        <f t="shared" si="16"/>
        <v>13.57</v>
      </c>
      <c r="AG18" s="27">
        <f t="shared" si="17"/>
        <v>2.2168026282563673</v>
      </c>
      <c r="AI18" s="101">
        <f t="shared" si="7"/>
        <v>0.0012733691848674338</v>
      </c>
      <c r="AJ18" s="101">
        <f t="shared" si="8"/>
        <v>0.0001029248888998327</v>
      </c>
      <c r="AK18" s="101">
        <f t="shared" si="8"/>
        <v>0.0003504479621716999</v>
      </c>
      <c r="AL18" s="101">
        <f t="shared" si="8"/>
        <v>0.0010443422094338463</v>
      </c>
    </row>
    <row r="19" spans="2:38" s="19" customFormat="1" ht="12.75">
      <c r="B19" s="19">
        <v>15</v>
      </c>
      <c r="C19" s="19" t="s">
        <v>113</v>
      </c>
      <c r="E19" s="25">
        <v>0</v>
      </c>
      <c r="F19" s="25">
        <v>0</v>
      </c>
      <c r="G19" s="25">
        <v>0.0007164863509350146</v>
      </c>
      <c r="J19" s="43" t="s">
        <v>78</v>
      </c>
      <c r="K19" s="43" t="s">
        <v>79</v>
      </c>
      <c r="L19" s="43" t="s">
        <v>80</v>
      </c>
      <c r="N19" s="27">
        <f t="shared" si="11"/>
        <v>0</v>
      </c>
      <c r="O19" s="27">
        <f t="shared" si="11"/>
        <v>0</v>
      </c>
      <c r="P19" s="27">
        <f t="shared" si="11"/>
        <v>0.8782469775241865</v>
      </c>
      <c r="Q19" s="27">
        <f t="shared" si="4"/>
        <v>0.8782469775241865</v>
      </c>
      <c r="R19" s="27">
        <v>0.21819999999999998</v>
      </c>
      <c r="S19" s="27">
        <f t="shared" si="18"/>
        <v>-0.6600469775241865</v>
      </c>
      <c r="U19" s="27">
        <f t="shared" si="19"/>
        <v>0</v>
      </c>
      <c r="V19" s="27">
        <f t="shared" si="19"/>
        <v>0</v>
      </c>
      <c r="W19" s="27">
        <f t="shared" si="19"/>
        <v>0.8782469775241865</v>
      </c>
      <c r="X19" s="27">
        <f t="shared" si="5"/>
        <v>0.8782469775241865</v>
      </c>
      <c r="Y19" s="27">
        <f t="shared" si="12"/>
        <v>0.21819999999999998</v>
      </c>
      <c r="Z19" s="27">
        <f t="shared" si="20"/>
        <v>-0.6600469775241865</v>
      </c>
      <c r="AB19" s="27">
        <f t="shared" si="13"/>
        <v>0</v>
      </c>
      <c r="AC19" s="27">
        <f t="shared" si="14"/>
        <v>0</v>
      </c>
      <c r="AD19" s="27">
        <f t="shared" si="15"/>
        <v>0.9109841094418063</v>
      </c>
      <c r="AE19" s="27">
        <f t="shared" si="6"/>
        <v>0.9109841094418063</v>
      </c>
      <c r="AF19" s="27">
        <f t="shared" si="16"/>
        <v>0.21819999999999998</v>
      </c>
      <c r="AG19" s="27">
        <f t="shared" si="17"/>
        <v>-0.6927841094418064</v>
      </c>
      <c r="AI19" s="101">
        <f t="shared" si="7"/>
        <v>0</v>
      </c>
      <c r="AJ19" s="101">
        <f t="shared" si="8"/>
        <v>0</v>
      </c>
      <c r="AK19" s="101">
        <f t="shared" si="8"/>
        <v>0.0007008959243433998</v>
      </c>
      <c r="AL19" s="101">
        <f t="shared" si="8"/>
        <v>8.379834565207311E-05</v>
      </c>
    </row>
    <row r="20" spans="2:38" s="19" customFormat="1" ht="12.75">
      <c r="B20" s="19">
        <v>16</v>
      </c>
      <c r="C20" s="19" t="s">
        <v>114</v>
      </c>
      <c r="E20" s="25">
        <v>0.044936720926622424</v>
      </c>
      <c r="F20" s="25">
        <v>0.00022040753352949605</v>
      </c>
      <c r="G20" s="25">
        <v>0.007284277901172648</v>
      </c>
      <c r="N20" s="27">
        <f t="shared" si="11"/>
        <v>381.4363971106812</v>
      </c>
      <c r="O20" s="27">
        <f t="shared" si="11"/>
        <v>0.22691617924148985</v>
      </c>
      <c r="P20" s="27">
        <f t="shared" si="11"/>
        <v>8.928844271495896</v>
      </c>
      <c r="Q20" s="27">
        <f t="shared" si="4"/>
        <v>390.59215756141856</v>
      </c>
      <c r="R20" s="27">
        <v>290.799989999999</v>
      </c>
      <c r="S20" s="27">
        <f t="shared" si="18"/>
        <v>-99.79216756141955</v>
      </c>
      <c r="U20" s="27">
        <f t="shared" si="19"/>
        <v>381.4363971106812</v>
      </c>
      <c r="V20" s="27">
        <f t="shared" si="19"/>
        <v>0.22691617924148985</v>
      </c>
      <c r="W20" s="27">
        <f t="shared" si="19"/>
        <v>8.928844271495896</v>
      </c>
      <c r="X20" s="27">
        <f t="shared" si="5"/>
        <v>390.59215756141856</v>
      </c>
      <c r="Y20" s="27">
        <f t="shared" si="12"/>
        <v>290.799989999999</v>
      </c>
      <c r="Z20" s="27">
        <f t="shared" si="20"/>
        <v>-99.79216756141955</v>
      </c>
      <c r="AB20" s="27">
        <f>U20*AB$64/AB$62</f>
        <v>381.43639711068124</v>
      </c>
      <c r="AC20" s="27">
        <f>V20*AC$64/AC$62</f>
        <v>0.22691617924148985</v>
      </c>
      <c r="AD20" s="27">
        <f>W20*AD$64/AD$62+120</f>
        <v>129.26167177932504</v>
      </c>
      <c r="AE20" s="27">
        <f t="shared" si="6"/>
        <v>510.9249850692478</v>
      </c>
      <c r="AF20" s="27">
        <f t="shared" si="16"/>
        <v>290.799989999999</v>
      </c>
      <c r="AG20" s="27">
        <f t="shared" si="17"/>
        <v>-220.12499506924877</v>
      </c>
      <c r="AH20" s="19" t="s">
        <v>222</v>
      </c>
      <c r="AI20" s="101">
        <f t="shared" si="7"/>
        <v>0.045038781458333677</v>
      </c>
      <c r="AJ20" s="101">
        <f t="shared" si="8"/>
        <v>0.0002058497777996654</v>
      </c>
      <c r="AK20" s="101">
        <f t="shared" si="8"/>
        <v>0.09945176648520963</v>
      </c>
      <c r="AL20" s="101">
        <f t="shared" si="8"/>
        <v>0.04699826051559478</v>
      </c>
    </row>
    <row r="21" spans="2:38" s="19" customFormat="1" ht="12.75">
      <c r="B21" s="19">
        <v>17</v>
      </c>
      <c r="C21" s="19" t="s">
        <v>115</v>
      </c>
      <c r="E21" s="25">
        <v>0.0009532031711707786</v>
      </c>
      <c r="F21" s="25">
        <v>0</v>
      </c>
      <c r="G21" s="25">
        <v>0.0017912158773375365</v>
      </c>
      <c r="H21" s="19">
        <v>19</v>
      </c>
      <c r="I21" t="s">
        <v>223</v>
      </c>
      <c r="J21" s="25">
        <v>0</v>
      </c>
      <c r="K21" s="25">
        <v>0</v>
      </c>
      <c r="L21" s="25">
        <v>0.0005970719591125122</v>
      </c>
      <c r="N21" s="27">
        <f t="shared" si="11"/>
        <v>8.09107509022657</v>
      </c>
      <c r="O21" s="27">
        <f t="shared" si="11"/>
        <v>0</v>
      </c>
      <c r="P21" s="27">
        <f t="shared" si="11"/>
        <v>2.195617443810466</v>
      </c>
      <c r="Q21" s="27">
        <f t="shared" si="4"/>
        <v>10.286692534037035</v>
      </c>
      <c r="R21" s="27">
        <v>11.07</v>
      </c>
      <c r="S21" s="27">
        <f t="shared" si="18"/>
        <v>0.7833074659629649</v>
      </c>
      <c r="U21" s="27">
        <f t="shared" si="19"/>
        <v>8.09107509022657</v>
      </c>
      <c r="V21" s="27">
        <f t="shared" si="19"/>
        <v>0</v>
      </c>
      <c r="W21" s="27">
        <f t="shared" si="19"/>
        <v>2.195617443810466</v>
      </c>
      <c r="X21" s="27">
        <f t="shared" si="5"/>
        <v>10.286692534037035</v>
      </c>
      <c r="Y21" s="27">
        <f t="shared" si="12"/>
        <v>11.07</v>
      </c>
      <c r="Z21" s="27">
        <f t="shared" si="20"/>
        <v>0.7833074659629649</v>
      </c>
      <c r="AB21" s="27">
        <f>U21*AB$64/AB$62</f>
        <v>8.09107509022657</v>
      </c>
      <c r="AC21" s="27">
        <f>V21*AC$64/AC$62</f>
        <v>0</v>
      </c>
      <c r="AD21" s="27">
        <f>W21*AD$64/AD$62</f>
        <v>2.277460273604516</v>
      </c>
      <c r="AE21" s="27">
        <f t="shared" si="6"/>
        <v>10.368535363831086</v>
      </c>
      <c r="AF21" s="27">
        <f t="shared" si="16"/>
        <v>11.07</v>
      </c>
      <c r="AG21" s="27">
        <f t="shared" si="17"/>
        <v>0.7014646361689145</v>
      </c>
      <c r="AI21" s="101">
        <f t="shared" si="7"/>
        <v>0.000955368091540411</v>
      </c>
      <c r="AJ21" s="101">
        <f>AC21/AC$61</f>
        <v>0</v>
      </c>
      <c r="AK21" s="101">
        <f>AD21/AD$61</f>
        <v>0.0017522398108584998</v>
      </c>
      <c r="AL21" s="101">
        <f>AE21/AE$61</f>
        <v>0.0009537664832117076</v>
      </c>
    </row>
    <row r="22" spans="2:38" s="19" customFormat="1" ht="12.75">
      <c r="B22" s="19">
        <v>18</v>
      </c>
      <c r="C22" s="19" t="s">
        <v>116</v>
      </c>
      <c r="E22" s="25">
        <v>0.0017838516489053142</v>
      </c>
      <c r="F22" s="25">
        <v>0</v>
      </c>
      <c r="G22" s="25">
        <v>0.0005970719591125122</v>
      </c>
      <c r="H22" s="19">
        <v>20</v>
      </c>
      <c r="I22" t="s">
        <v>224</v>
      </c>
      <c r="J22" s="25">
        <v>0.03228635312637023</v>
      </c>
      <c r="K22" s="25">
        <v>0.0031959092361776927</v>
      </c>
      <c r="L22" s="25">
        <v>0.01767332998973036</v>
      </c>
      <c r="N22" s="27">
        <f t="shared" si="11"/>
        <v>15.141869097424008</v>
      </c>
      <c r="O22" s="27">
        <f t="shared" si="11"/>
        <v>0</v>
      </c>
      <c r="P22" s="27">
        <f t="shared" si="11"/>
        <v>0.7318724812701555</v>
      </c>
      <c r="Q22" s="27">
        <f t="shared" si="4"/>
        <v>15.873741578694164</v>
      </c>
      <c r="R22" s="27">
        <v>13.7899999999999</v>
      </c>
      <c r="S22" s="27">
        <f t="shared" si="18"/>
        <v>-2.083741578694264</v>
      </c>
      <c r="U22" s="27">
        <f t="shared" si="19"/>
        <v>15.141869097424008</v>
      </c>
      <c r="V22" s="27">
        <f t="shared" si="19"/>
        <v>0</v>
      </c>
      <c r="W22" s="27">
        <f t="shared" si="19"/>
        <v>0.7318724812701555</v>
      </c>
      <c r="X22" s="27">
        <f t="shared" si="5"/>
        <v>15.873741578694164</v>
      </c>
      <c r="Y22" s="27">
        <f t="shared" si="12"/>
        <v>13.7899999999999</v>
      </c>
      <c r="Z22" s="27">
        <f t="shared" si="20"/>
        <v>-2.083741578694264</v>
      </c>
      <c r="AB22" s="27">
        <f>U22*AB$64/AB$62+70</f>
        <v>85.141869097424</v>
      </c>
      <c r="AC22" s="27">
        <f>V22*AC$64/AC$62+40</f>
        <v>40</v>
      </c>
      <c r="AD22" s="27">
        <f>W22*AD$64/AD$62+25</f>
        <v>25.759153424534837</v>
      </c>
      <c r="AE22" s="27">
        <f t="shared" si="6"/>
        <v>150.90102252195885</v>
      </c>
      <c r="AF22" s="27">
        <f t="shared" si="16"/>
        <v>13.7899999999999</v>
      </c>
      <c r="AG22" s="27">
        <f t="shared" si="17"/>
        <v>-137.11102252195894</v>
      </c>
      <c r="AH22" s="21" t="s">
        <v>225</v>
      </c>
      <c r="AI22" s="101">
        <f aca="true" t="shared" si="21" ref="AI22:AL37">AB22/AB$61</f>
        <v>0.010053277726719467</v>
      </c>
      <c r="AJ22" s="101">
        <f t="shared" si="21"/>
        <v>0.036286487545799</v>
      </c>
      <c r="AK22" s="101">
        <f t="shared" si="21"/>
        <v>0.019818661448283054</v>
      </c>
      <c r="AL22" s="101">
        <f t="shared" si="21"/>
        <v>0.01388087444499399</v>
      </c>
    </row>
    <row r="23" spans="2:38" s="19" customFormat="1" ht="12.75">
      <c r="B23" s="19">
        <v>19</v>
      </c>
      <c r="C23" s="19" t="s">
        <v>117</v>
      </c>
      <c r="E23" s="13">
        <f>J23</f>
        <v>0.03228635312637023</v>
      </c>
      <c r="F23" s="13">
        <f>K23</f>
        <v>0.0031959092361776927</v>
      </c>
      <c r="G23" s="13">
        <f>L23</f>
        <v>0.018270401948842874</v>
      </c>
      <c r="H23" s="33">
        <v>19</v>
      </c>
      <c r="I23" s="33" t="s">
        <v>117</v>
      </c>
      <c r="J23" s="41">
        <f>SUM(J21:J22)</f>
        <v>0.03228635312637023</v>
      </c>
      <c r="K23" s="41">
        <f>SUM(K21:K22)</f>
        <v>0.0031959092361776927</v>
      </c>
      <c r="L23" s="41">
        <f>SUM(L21:L22)</f>
        <v>0.018270401948842874</v>
      </c>
      <c r="N23" s="27">
        <f t="shared" si="11"/>
        <v>274.05627198467425</v>
      </c>
      <c r="O23" s="27">
        <f t="shared" si="11"/>
        <v>3.2902845990016027</v>
      </c>
      <c r="P23" s="27">
        <f t="shared" si="11"/>
        <v>22.395297926866757</v>
      </c>
      <c r="Q23" s="27">
        <f t="shared" si="4"/>
        <v>299.7418545105426</v>
      </c>
      <c r="R23" s="27">
        <v>294.10001</v>
      </c>
      <c r="S23" s="27">
        <f t="shared" si="18"/>
        <v>-5.641844510542626</v>
      </c>
      <c r="T23" s="19" t="s">
        <v>217</v>
      </c>
      <c r="U23" s="27">
        <f>E23*J$13*($R23+$S23)/$R23</f>
        <v>268.79893495270164</v>
      </c>
      <c r="V23" s="27">
        <f>F23*K$13*($R23+$S23)/$R23</f>
        <v>3.2271656820624295</v>
      </c>
      <c r="W23" s="27">
        <f>G23*L$13*($R23+$S23)/$R23</f>
        <v>21.9656794828869</v>
      </c>
      <c r="X23" s="27">
        <f t="shared" si="5"/>
        <v>293.991780117651</v>
      </c>
      <c r="Y23" s="27">
        <f t="shared" si="12"/>
        <v>294.10001</v>
      </c>
      <c r="Z23" s="27">
        <f t="shared" si="20"/>
        <v>0.10822988234900777</v>
      </c>
      <c r="AB23" s="27">
        <f>U23*AB$64/AB$62</f>
        <v>268.7989349527017</v>
      </c>
      <c r="AC23" s="27">
        <f>V23*AC$64/AC$62+15</f>
        <v>18.22716568206243</v>
      </c>
      <c r="AD23" s="27">
        <f>W23*AD$64/AD$62</f>
        <v>22.78446208652145</v>
      </c>
      <c r="AE23" s="27">
        <f t="shared" si="6"/>
        <v>309.8105627212856</v>
      </c>
      <c r="AF23" s="27">
        <f t="shared" si="16"/>
        <v>294.10001</v>
      </c>
      <c r="AG23" s="27">
        <f t="shared" si="17"/>
        <v>-15.71055272128558</v>
      </c>
      <c r="AI23" s="101">
        <f t="shared" si="21"/>
        <v>0.031738912645126204</v>
      </c>
      <c r="AJ23" s="101">
        <f t="shared" si="21"/>
        <v>0.016534995512934334</v>
      </c>
      <c r="AK23" s="101">
        <f t="shared" si="21"/>
        <v>0.017529983727800395</v>
      </c>
      <c r="AL23" s="101">
        <f t="shared" si="21"/>
        <v>0.02849842533201727</v>
      </c>
    </row>
    <row r="24" spans="2:38" s="19" customFormat="1" ht="12.75">
      <c r="B24" s="19">
        <v>20</v>
      </c>
      <c r="C24" s="19" t="s">
        <v>118</v>
      </c>
      <c r="E24" s="25">
        <v>0.03287189221723228</v>
      </c>
      <c r="F24" s="25">
        <v>0</v>
      </c>
      <c r="G24" s="25">
        <v>0.04573571206801843</v>
      </c>
      <c r="H24"/>
      <c r="I24"/>
      <c r="J24"/>
      <c r="K24"/>
      <c r="L24"/>
      <c r="N24" s="27">
        <f t="shared" si="11"/>
        <v>279.0265038258134</v>
      </c>
      <c r="O24" s="27">
        <f t="shared" si="11"/>
        <v>0</v>
      </c>
      <c r="P24" s="27">
        <f t="shared" si="11"/>
        <v>56.0614320652939</v>
      </c>
      <c r="Q24" s="27">
        <f t="shared" si="4"/>
        <v>335.0879358911073</v>
      </c>
      <c r="R24" s="27">
        <v>436.100009999999</v>
      </c>
      <c r="S24" s="27">
        <f t="shared" si="18"/>
        <v>101.01207410889168</v>
      </c>
      <c r="T24" s="19" t="s">
        <v>217</v>
      </c>
      <c r="U24" s="27">
        <f>E24*J$13*($R24+$S24)/$R24</f>
        <v>343.65627964901984</v>
      </c>
      <c r="V24" s="27">
        <v>40.5</v>
      </c>
      <c r="W24" s="27">
        <f>G24*L$13*($R24+$S24)/$R24</f>
        <v>69.04671388271481</v>
      </c>
      <c r="X24" s="27">
        <f t="shared" si="5"/>
        <v>453.20299353173465</v>
      </c>
      <c r="Y24" s="27">
        <f t="shared" si="12"/>
        <v>436.100009999999</v>
      </c>
      <c r="Z24" s="27">
        <f t="shared" si="20"/>
        <v>-17.102983531735674</v>
      </c>
      <c r="AB24" s="27">
        <f>U24*AB$64/AB$62+100</f>
        <v>443.65627964901984</v>
      </c>
      <c r="AC24" s="27">
        <f>V24*AC$64/AC$62+40</f>
        <v>80.5</v>
      </c>
      <c r="AD24" s="27">
        <f>W24*AD$64/AD$62+30</f>
        <v>101.62046755190332</v>
      </c>
      <c r="AE24" s="27">
        <f t="shared" si="6"/>
        <v>625.7767472009231</v>
      </c>
      <c r="AF24" s="27">
        <f t="shared" si="16"/>
        <v>436.100009999999</v>
      </c>
      <c r="AG24" s="27">
        <f t="shared" si="17"/>
        <v>-189.6767372009241</v>
      </c>
      <c r="AH24" s="21" t="s">
        <v>225</v>
      </c>
      <c r="AI24" s="101">
        <f t="shared" si="21"/>
        <v>0.05238550482619907</v>
      </c>
      <c r="AJ24" s="101">
        <f t="shared" si="21"/>
        <v>0.0730265561859205</v>
      </c>
      <c r="AK24" s="101">
        <f t="shared" si="21"/>
        <v>0.0781850866538629</v>
      </c>
      <c r="AL24" s="101">
        <f t="shared" si="21"/>
        <v>0.057563085480277235</v>
      </c>
    </row>
    <row r="25" spans="2:38" s="19" customFormat="1" ht="12.75">
      <c r="B25" s="19">
        <v>21</v>
      </c>
      <c r="C25" s="19" t="s">
        <v>119</v>
      </c>
      <c r="E25" s="13">
        <f>J28</f>
        <v>0.03323955629754101</v>
      </c>
      <c r="F25" s="13">
        <f>K28</f>
        <v>0.0012122414344122284</v>
      </c>
      <c r="G25" s="13">
        <f>L28</f>
        <v>0.021733419311695444</v>
      </c>
      <c r="H25"/>
      <c r="I25"/>
      <c r="J25"/>
      <c r="K25"/>
      <c r="L25"/>
      <c r="N25" s="27">
        <f t="shared" si="11"/>
        <v>282.14734707490084</v>
      </c>
      <c r="O25" s="27">
        <f t="shared" si="11"/>
        <v>1.2480389858281944</v>
      </c>
      <c r="P25" s="27">
        <f t="shared" si="11"/>
        <v>26.64015831823366</v>
      </c>
      <c r="Q25" s="27">
        <f t="shared" si="4"/>
        <v>310.0355443789627</v>
      </c>
      <c r="R25" s="27">
        <v>316.39999</v>
      </c>
      <c r="S25" s="27">
        <f aca="true" t="shared" si="22" ref="S25:S40">R25-Q25</f>
        <v>6.364445621037305</v>
      </c>
      <c r="T25" s="19" t="s">
        <v>217</v>
      </c>
      <c r="U25" s="27">
        <f>E25*J$13*($R25+$S25)/$R25</f>
        <v>287.82279430730483</v>
      </c>
      <c r="V25" s="27">
        <f>F25*K$13*($R25+$S25)/$R25</f>
        <v>1.2731435259965997</v>
      </c>
      <c r="W25" s="27">
        <f>G25*L$13*($R25+$S25)/$R25</f>
        <v>27.176030139696813</v>
      </c>
      <c r="X25" s="27">
        <f t="shared" si="5"/>
        <v>316.27196797299825</v>
      </c>
      <c r="Y25" s="27">
        <f t="shared" si="12"/>
        <v>316.39999</v>
      </c>
      <c r="Z25" s="27">
        <f aca="true" t="shared" si="23" ref="Z25:Z40">Y25-X25</f>
        <v>0.12802202700174803</v>
      </c>
      <c r="AB25" s="27">
        <f aca="true" t="shared" si="24" ref="AB25:AB44">U25*AB$64/AB$62</f>
        <v>287.82279430730483</v>
      </c>
      <c r="AC25" s="27">
        <f>V25*AC$64/AC$62+70</f>
        <v>71.2731435259966</v>
      </c>
      <c r="AD25" s="27">
        <f aca="true" t="shared" si="25" ref="AD25:AD44">W25*AD$64/AD$62</f>
        <v>28.18903138700935</v>
      </c>
      <c r="AE25" s="27">
        <f t="shared" si="6"/>
        <v>387.2849692203108</v>
      </c>
      <c r="AF25" s="27">
        <f t="shared" si="16"/>
        <v>316.39999</v>
      </c>
      <c r="AG25" s="27">
        <f t="shared" si="17"/>
        <v>-70.88497922031081</v>
      </c>
      <c r="AH25" s="21" t="s">
        <v>225</v>
      </c>
      <c r="AI25" s="101">
        <f t="shared" si="21"/>
        <v>0.03398518869653675</v>
      </c>
      <c r="AJ25" s="101">
        <f t="shared" si="21"/>
        <v>0.06465630087265052</v>
      </c>
      <c r="AK25" s="101">
        <f t="shared" si="21"/>
        <v>0.021688168877555095</v>
      </c>
      <c r="AL25" s="101">
        <f t="shared" si="21"/>
        <v>0.03562503382903327</v>
      </c>
    </row>
    <row r="26" spans="2:38" s="19" customFormat="1" ht="12.75">
      <c r="B26" s="19">
        <v>22</v>
      </c>
      <c r="C26" s="19" t="s">
        <v>120</v>
      </c>
      <c r="E26" s="25">
        <v>0.009096281690601143</v>
      </c>
      <c r="F26" s="25">
        <v>0.0012122414344122284</v>
      </c>
      <c r="G26" s="25">
        <v>0.02746531011917556</v>
      </c>
      <c r="H26" s="19">
        <v>22</v>
      </c>
      <c r="I26" s="19" t="s">
        <v>226</v>
      </c>
      <c r="J26" s="25">
        <v>0.03323955629754101</v>
      </c>
      <c r="K26" s="25">
        <v>0.0012122414344122284</v>
      </c>
      <c r="L26" s="25">
        <v>0.019703374650712903</v>
      </c>
      <c r="N26" s="27">
        <f t="shared" si="11"/>
        <v>77.21197371816211</v>
      </c>
      <c r="O26" s="27">
        <f t="shared" si="11"/>
        <v>1.2480389858281944</v>
      </c>
      <c r="P26" s="27">
        <f t="shared" si="11"/>
        <v>33.666134138427154</v>
      </c>
      <c r="Q26" s="27">
        <f t="shared" si="4"/>
        <v>112.12614684241746</v>
      </c>
      <c r="R26" s="27">
        <v>79.93</v>
      </c>
      <c r="S26" s="27">
        <f t="shared" si="22"/>
        <v>-32.19614684241745</v>
      </c>
      <c r="U26" s="27">
        <f>E26*J$13</f>
        <v>77.21197371816211</v>
      </c>
      <c r="V26" s="27">
        <f>F26*K$13</f>
        <v>1.2480389858281944</v>
      </c>
      <c r="W26" s="27">
        <f>G26*L$13</f>
        <v>33.666134138427154</v>
      </c>
      <c r="X26" s="27">
        <f t="shared" si="5"/>
        <v>112.12614684241746</v>
      </c>
      <c r="Y26" s="27">
        <f t="shared" si="12"/>
        <v>79.93</v>
      </c>
      <c r="Z26" s="27">
        <f t="shared" si="23"/>
        <v>-32.19614684241745</v>
      </c>
      <c r="AB26" s="27">
        <f t="shared" si="24"/>
        <v>77.21197371816213</v>
      </c>
      <c r="AC26" s="27">
        <f aca="true" t="shared" si="26" ref="AC26:AC44">V26*AC$64/AC$62</f>
        <v>1.2480389858281944</v>
      </c>
      <c r="AD26" s="27">
        <f t="shared" si="25"/>
        <v>34.92105752860258</v>
      </c>
      <c r="AE26" s="27">
        <f t="shared" si="6"/>
        <v>113.38107023259289</v>
      </c>
      <c r="AF26" s="27">
        <f t="shared" si="16"/>
        <v>79.93</v>
      </c>
      <c r="AG26" s="27">
        <f t="shared" si="17"/>
        <v>-33.45107023259288</v>
      </c>
      <c r="AI26" s="101">
        <f t="shared" si="21"/>
        <v>0.00911694121641421</v>
      </c>
      <c r="AJ26" s="101">
        <f t="shared" si="21"/>
        <v>0.00113217377789816</v>
      </c>
      <c r="AK26" s="101">
        <f t="shared" si="21"/>
        <v>0.02686767709983033</v>
      </c>
      <c r="AL26" s="101">
        <f t="shared" si="21"/>
        <v>0.01042954099339285</v>
      </c>
    </row>
    <row r="27" spans="2:38" s="19" customFormat="1" ht="12.75">
      <c r="B27" s="19">
        <v>23</v>
      </c>
      <c r="C27" s="19" t="s">
        <v>121</v>
      </c>
      <c r="E27" s="25">
        <v>0.016871696129722783</v>
      </c>
      <c r="F27" s="25">
        <v>0.0020938715685302122</v>
      </c>
      <c r="G27" s="25">
        <v>0.01659860046332784</v>
      </c>
      <c r="H27" s="19">
        <v>23</v>
      </c>
      <c r="I27" s="19" t="s">
        <v>227</v>
      </c>
      <c r="J27" s="25">
        <v>0</v>
      </c>
      <c r="K27" s="25">
        <v>0</v>
      </c>
      <c r="L27" s="25">
        <v>0.002030044660982541</v>
      </c>
      <c r="N27" s="27">
        <f t="shared" si="11"/>
        <v>143.2120290970103</v>
      </c>
      <c r="O27" s="27">
        <f t="shared" si="11"/>
        <v>2.1557037027941535</v>
      </c>
      <c r="P27" s="27">
        <f t="shared" si="11"/>
        <v>20.346054979310324</v>
      </c>
      <c r="Q27" s="27">
        <f t="shared" si="4"/>
        <v>165.71378777911474</v>
      </c>
      <c r="R27" s="27">
        <v>174.10001</v>
      </c>
      <c r="S27" s="27">
        <f t="shared" si="22"/>
        <v>8.386222220885259</v>
      </c>
      <c r="T27" s="19" t="s">
        <v>217</v>
      </c>
      <c r="U27" s="27">
        <f aca="true" t="shared" si="27" ref="U27:W28">E27*J$13*($R27+$S27)/$R27</f>
        <v>150.1104083717238</v>
      </c>
      <c r="V27" s="27">
        <f t="shared" si="27"/>
        <v>2.259541780080978</v>
      </c>
      <c r="W27" s="27">
        <f t="shared" si="27"/>
        <v>21.32610396595223</v>
      </c>
      <c r="X27" s="27">
        <f t="shared" si="5"/>
        <v>173.696054117757</v>
      </c>
      <c r="Y27" s="27">
        <f t="shared" si="12"/>
        <v>174.10001</v>
      </c>
      <c r="Z27" s="27">
        <f t="shared" si="23"/>
        <v>0.4039558822429967</v>
      </c>
      <c r="AB27" s="27">
        <f t="shared" si="24"/>
        <v>150.11040837172382</v>
      </c>
      <c r="AC27" s="27">
        <f t="shared" si="26"/>
        <v>2.259541780080978</v>
      </c>
      <c r="AD27" s="27">
        <f t="shared" si="25"/>
        <v>22.121046045673793</v>
      </c>
      <c r="AE27" s="27">
        <f t="shared" si="6"/>
        <v>174.49099619747858</v>
      </c>
      <c r="AF27" s="27">
        <f t="shared" si="16"/>
        <v>174.10001</v>
      </c>
      <c r="AG27" s="27">
        <f t="shared" si="17"/>
        <v>-0.39098619747858265</v>
      </c>
      <c r="AI27" s="101">
        <f t="shared" si="21"/>
        <v>0.0177245536306634</v>
      </c>
      <c r="AJ27" s="101">
        <f t="shared" si="21"/>
        <v>0.002049770866553023</v>
      </c>
      <c r="AK27" s="101">
        <f t="shared" si="21"/>
        <v>0.017019562531256065</v>
      </c>
      <c r="AL27" s="101">
        <f t="shared" si="21"/>
        <v>0.016050836299977132</v>
      </c>
    </row>
    <row r="28" spans="2:38" s="19" customFormat="1" ht="12.75">
      <c r="B28" s="19">
        <v>24</v>
      </c>
      <c r="C28" s="19" t="s">
        <v>122</v>
      </c>
      <c r="E28" s="25">
        <v>0.016504032049414055</v>
      </c>
      <c r="F28" s="25">
        <v>0.0005510188338237401</v>
      </c>
      <c r="G28" s="25">
        <v>0.004537746889255093</v>
      </c>
      <c r="H28" s="33">
        <v>21</v>
      </c>
      <c r="I28" s="33" t="s">
        <v>119</v>
      </c>
      <c r="J28" s="41">
        <f>SUM(J26:J27)</f>
        <v>0.03323955629754101</v>
      </c>
      <c r="K28" s="41">
        <f>SUM(K26:K27)</f>
        <v>0.0012122414344122284</v>
      </c>
      <c r="L28" s="41">
        <f>SUM(L26:L27)</f>
        <v>0.021733419311695444</v>
      </c>
      <c r="N28" s="27">
        <f t="shared" si="11"/>
        <v>140.0911858479229</v>
      </c>
      <c r="O28" s="27">
        <f t="shared" si="11"/>
        <v>0.5672904481037246</v>
      </c>
      <c r="P28" s="27">
        <f t="shared" si="11"/>
        <v>5.562230857653182</v>
      </c>
      <c r="Q28" s="27">
        <f t="shared" si="4"/>
        <v>146.22070715367983</v>
      </c>
      <c r="R28" s="27">
        <v>145.89999</v>
      </c>
      <c r="S28" s="27">
        <f t="shared" si="22"/>
        <v>-0.3207171536798228</v>
      </c>
      <c r="T28" s="19" t="s">
        <v>217</v>
      </c>
      <c r="U28" s="27">
        <f t="shared" si="27"/>
        <v>139.78323759939474</v>
      </c>
      <c r="V28" s="27">
        <f t="shared" si="27"/>
        <v>0.5660434310352137</v>
      </c>
      <c r="W28" s="27">
        <f t="shared" si="27"/>
        <v>5.550003969571993</v>
      </c>
      <c r="X28" s="27">
        <f t="shared" si="5"/>
        <v>145.89928500000195</v>
      </c>
      <c r="Y28" s="27">
        <f t="shared" si="12"/>
        <v>145.89999</v>
      </c>
      <c r="Z28" s="27">
        <f t="shared" si="23"/>
        <v>0.0007049999980495159</v>
      </c>
      <c r="AB28" s="27">
        <f t="shared" si="24"/>
        <v>139.78323759939477</v>
      </c>
      <c r="AC28" s="27">
        <f t="shared" si="26"/>
        <v>0.5660434310352137</v>
      </c>
      <c r="AD28" s="27">
        <f t="shared" si="25"/>
        <v>5.756883374505884</v>
      </c>
      <c r="AE28" s="27">
        <f t="shared" si="6"/>
        <v>146.10616440493587</v>
      </c>
      <c r="AF28" s="27">
        <f t="shared" si="16"/>
        <v>145.89999</v>
      </c>
      <c r="AG28" s="27">
        <f t="shared" si="17"/>
        <v>-0.20617440493586514</v>
      </c>
      <c r="AI28" s="101">
        <f t="shared" si="21"/>
        <v>0.016505154561720185</v>
      </c>
      <c r="AJ28" s="101">
        <f t="shared" si="21"/>
        <v>0.0005134931977660154</v>
      </c>
      <c r="AK28" s="101">
        <f t="shared" si="21"/>
        <v>0.0044292497007262085</v>
      </c>
      <c r="AL28" s="101">
        <f t="shared" si="21"/>
        <v>0.013439811671583882</v>
      </c>
    </row>
    <row r="29" spans="2:38" s="19" customFormat="1" ht="12.75">
      <c r="B29" s="19">
        <v>25</v>
      </c>
      <c r="C29" s="19" t="s">
        <v>123</v>
      </c>
      <c r="E29" s="25">
        <v>0.004316648646587669</v>
      </c>
      <c r="F29" s="25">
        <v>0.00011020376676474802</v>
      </c>
      <c r="G29" s="25">
        <v>0</v>
      </c>
      <c r="N29" s="27">
        <f aca="true" t="shared" si="28" ref="N29:P44">E29*J$13</f>
        <v>36.64101148002604</v>
      </c>
      <c r="O29" s="27">
        <f t="shared" si="28"/>
        <v>0.11345808962074493</v>
      </c>
      <c r="P29" s="27">
        <f t="shared" si="28"/>
        <v>0</v>
      </c>
      <c r="Q29" s="27">
        <f t="shared" si="4"/>
        <v>36.75446956964678</v>
      </c>
      <c r="R29" s="27">
        <v>29.03</v>
      </c>
      <c r="S29" s="27">
        <f t="shared" si="22"/>
        <v>-7.724469569646779</v>
      </c>
      <c r="U29" s="27">
        <f aca="true" t="shared" si="29" ref="U29:W30">E29*J$13</f>
        <v>36.64101148002604</v>
      </c>
      <c r="V29" s="27">
        <f t="shared" si="29"/>
        <v>0.11345808962074493</v>
      </c>
      <c r="W29" s="27">
        <f t="shared" si="29"/>
        <v>0</v>
      </c>
      <c r="X29" s="27">
        <f t="shared" si="5"/>
        <v>36.75446956964678</v>
      </c>
      <c r="Y29" s="27">
        <f t="shared" si="12"/>
        <v>29.03</v>
      </c>
      <c r="Z29" s="27">
        <f t="shared" si="23"/>
        <v>-7.724469569646779</v>
      </c>
      <c r="AB29" s="27">
        <f t="shared" si="24"/>
        <v>36.641011480026044</v>
      </c>
      <c r="AC29" s="27">
        <f t="shared" si="26"/>
        <v>0.11345808962074493</v>
      </c>
      <c r="AD29" s="27">
        <f t="shared" si="25"/>
        <v>0</v>
      </c>
      <c r="AE29" s="27">
        <f t="shared" si="6"/>
        <v>36.75446956964679</v>
      </c>
      <c r="AF29" s="27">
        <f t="shared" si="16"/>
        <v>29.03</v>
      </c>
      <c r="AG29" s="27">
        <f t="shared" si="17"/>
        <v>-7.724469569646786</v>
      </c>
      <c r="AI29" s="101">
        <f t="shared" si="21"/>
        <v>0.0043264526431187195</v>
      </c>
      <c r="AJ29" s="101">
        <f t="shared" si="21"/>
        <v>0.0001029248888998327</v>
      </c>
      <c r="AK29" s="101">
        <f t="shared" si="21"/>
        <v>0</v>
      </c>
      <c r="AL29" s="101">
        <f t="shared" si="21"/>
        <v>0.0033809192864440547</v>
      </c>
    </row>
    <row r="30" spans="2:38" s="19" customFormat="1" ht="12.75">
      <c r="B30" s="19">
        <v>26</v>
      </c>
      <c r="C30" s="19" t="s">
        <v>124</v>
      </c>
      <c r="E30" s="25">
        <v>0.002519179809522772</v>
      </c>
      <c r="F30" s="25">
        <v>0.00022040753352949605</v>
      </c>
      <c r="G30" s="25">
        <v>0.0022688734446275464</v>
      </c>
      <c r="N30" s="27">
        <f t="shared" si="28"/>
        <v>21.38355559559879</v>
      </c>
      <c r="O30" s="27">
        <f t="shared" si="28"/>
        <v>0.22691617924148985</v>
      </c>
      <c r="P30" s="27">
        <f t="shared" si="28"/>
        <v>2.781115428826591</v>
      </c>
      <c r="Q30" s="27">
        <f t="shared" si="4"/>
        <v>24.39158720366687</v>
      </c>
      <c r="R30" s="27">
        <v>19.84</v>
      </c>
      <c r="S30" s="27">
        <f t="shared" si="22"/>
        <v>-4.55158720366687</v>
      </c>
      <c r="U30" s="27">
        <f t="shared" si="29"/>
        <v>21.38355559559879</v>
      </c>
      <c r="V30" s="27">
        <f t="shared" si="29"/>
        <v>0.22691617924148985</v>
      </c>
      <c r="W30" s="27">
        <f t="shared" si="29"/>
        <v>2.781115428826591</v>
      </c>
      <c r="X30" s="27">
        <f t="shared" si="5"/>
        <v>24.39158720366687</v>
      </c>
      <c r="Y30" s="27">
        <f t="shared" si="12"/>
        <v>19.84</v>
      </c>
      <c r="Z30" s="27">
        <f t="shared" si="23"/>
        <v>-4.55158720366687</v>
      </c>
      <c r="AB30" s="27">
        <f t="shared" si="24"/>
        <v>21.383555595598793</v>
      </c>
      <c r="AC30" s="27">
        <f t="shared" si="26"/>
        <v>0.22691617924148985</v>
      </c>
      <c r="AD30" s="27">
        <f t="shared" si="25"/>
        <v>2.884783013232387</v>
      </c>
      <c r="AE30" s="27">
        <f t="shared" si="6"/>
        <v>24.495254788072668</v>
      </c>
      <c r="AF30" s="27">
        <f t="shared" si="16"/>
        <v>19.84</v>
      </c>
      <c r="AG30" s="27">
        <f t="shared" si="17"/>
        <v>-4.655254788072668</v>
      </c>
      <c r="AI30" s="101">
        <f t="shared" si="21"/>
        <v>0.0025249013847853724</v>
      </c>
      <c r="AJ30" s="101">
        <f t="shared" si="21"/>
        <v>0.0002058497777996654</v>
      </c>
      <c r="AK30" s="101">
        <f t="shared" si="21"/>
        <v>0.002219503760420766</v>
      </c>
      <c r="AL30" s="101">
        <f t="shared" si="21"/>
        <v>0.002253235601249131</v>
      </c>
    </row>
    <row r="31" spans="2:38" s="19" customFormat="1" ht="12.75">
      <c r="B31" s="19">
        <v>27</v>
      </c>
      <c r="C31" s="19" t="s">
        <v>125</v>
      </c>
      <c r="E31" s="25">
        <v>0.00043575002110664166</v>
      </c>
      <c r="F31" s="25">
        <v>0.0035265205364719368</v>
      </c>
      <c r="G31" s="25">
        <v>0.0011941439182250244</v>
      </c>
      <c r="N31" s="27">
        <f t="shared" si="28"/>
        <v>3.698777184103575</v>
      </c>
      <c r="O31" s="27">
        <f t="shared" si="28"/>
        <v>3.6306588678638376</v>
      </c>
      <c r="P31" s="27">
        <f t="shared" si="28"/>
        <v>1.463744962540311</v>
      </c>
      <c r="Q31" s="27">
        <f t="shared" si="4"/>
        <v>8.793181014507724</v>
      </c>
      <c r="R31" s="27">
        <v>45.944</v>
      </c>
      <c r="S31" s="27">
        <f t="shared" si="22"/>
        <v>37.15081898549228</v>
      </c>
      <c r="T31" s="19" t="s">
        <v>217</v>
      </c>
      <c r="U31" s="27">
        <f>E31*J$13*($R31+$S31)/$R31+20</f>
        <v>26.689648715409092</v>
      </c>
      <c r="V31" s="27">
        <f>F31*K$13*($R31+$S31)/$R31+5</f>
        <v>11.566449186470876</v>
      </c>
      <c r="W31" s="27">
        <f>G31*L$13*($R31+$S31)/$R31+2.1</f>
        <v>4.747345087567763</v>
      </c>
      <c r="X31" s="27">
        <f t="shared" si="5"/>
        <v>43.003442989447734</v>
      </c>
      <c r="Y31" s="27">
        <f t="shared" si="12"/>
        <v>45.944</v>
      </c>
      <c r="Z31" s="27">
        <f t="shared" si="23"/>
        <v>2.9405570105522685</v>
      </c>
      <c r="AB31" s="27">
        <f t="shared" si="24"/>
        <v>26.689648715409096</v>
      </c>
      <c r="AC31" s="27">
        <f t="shared" si="26"/>
        <v>11.566449186470876</v>
      </c>
      <c r="AD31" s="27">
        <f t="shared" si="25"/>
        <v>4.924304947797843</v>
      </c>
      <c r="AE31" s="27">
        <f t="shared" si="6"/>
        <v>43.18040284967781</v>
      </c>
      <c r="AF31" s="27">
        <f t="shared" si="16"/>
        <v>45.944</v>
      </c>
      <c r="AG31" s="27">
        <f t="shared" si="17"/>
        <v>2.763597150322191</v>
      </c>
      <c r="AI31" s="101">
        <f t="shared" si="21"/>
        <v>0.0031514277735383562</v>
      </c>
      <c r="AJ31" s="101">
        <f t="shared" si="21"/>
        <v>0.010492645358849813</v>
      </c>
      <c r="AK31" s="101">
        <f t="shared" si="21"/>
        <v>0.003788677796202573</v>
      </c>
      <c r="AL31" s="101">
        <f t="shared" si="21"/>
        <v>0.0039720191448896075</v>
      </c>
    </row>
    <row r="32" spans="2:38" s="19" customFormat="1" ht="12.75">
      <c r="B32" s="19">
        <v>28</v>
      </c>
      <c r="C32" s="19" t="s">
        <v>126</v>
      </c>
      <c r="E32" s="25">
        <v>2.7234376319165103E-05</v>
      </c>
      <c r="F32" s="25">
        <v>0.00011020376676474802</v>
      </c>
      <c r="G32" s="25">
        <v>0.00011941439182250244</v>
      </c>
      <c r="N32" s="27">
        <f t="shared" si="28"/>
        <v>0.23117357400647343</v>
      </c>
      <c r="O32" s="27">
        <f t="shared" si="28"/>
        <v>0.11345808962074493</v>
      </c>
      <c r="P32" s="27">
        <f t="shared" si="28"/>
        <v>0.1463744962540311</v>
      </c>
      <c r="Q32" s="27">
        <f t="shared" si="4"/>
        <v>0.49100615988124946</v>
      </c>
      <c r="R32" s="27">
        <v>0</v>
      </c>
      <c r="S32" s="27">
        <f t="shared" si="22"/>
        <v>-0.49100615988124946</v>
      </c>
      <c r="U32" s="27">
        <f>E32*J$13</f>
        <v>0.23117357400647343</v>
      </c>
      <c r="V32" s="27">
        <f>F32*K$13</f>
        <v>0.11345808962074493</v>
      </c>
      <c r="W32" s="27">
        <f>G32*L$13</f>
        <v>0.1463744962540311</v>
      </c>
      <c r="X32" s="27">
        <f t="shared" si="5"/>
        <v>0.49100615988124946</v>
      </c>
      <c r="Y32" s="27">
        <f t="shared" si="12"/>
        <v>0</v>
      </c>
      <c r="Z32" s="27">
        <f t="shared" si="23"/>
        <v>-0.49100615988124946</v>
      </c>
      <c r="AB32" s="27">
        <f t="shared" si="24"/>
        <v>0.23117357400647345</v>
      </c>
      <c r="AC32" s="27">
        <f t="shared" si="26"/>
        <v>0.11345808962074493</v>
      </c>
      <c r="AD32" s="27">
        <f t="shared" si="25"/>
        <v>0.15183068490696774</v>
      </c>
      <c r="AE32" s="27">
        <f t="shared" si="6"/>
        <v>0.49646234853418614</v>
      </c>
      <c r="AF32" s="27">
        <f t="shared" si="16"/>
        <v>0</v>
      </c>
      <c r="AG32" s="27">
        <f t="shared" si="17"/>
        <v>-0.49646234853418614</v>
      </c>
      <c r="AI32" s="101">
        <f t="shared" si="21"/>
        <v>2.729623118686889E-05</v>
      </c>
      <c r="AJ32" s="101">
        <f t="shared" si="21"/>
        <v>0.0001029248888998327</v>
      </c>
      <c r="AK32" s="101">
        <f t="shared" si="21"/>
        <v>0.00011681598739056666</v>
      </c>
      <c r="AL32" s="101">
        <f t="shared" si="21"/>
        <v>4.5667891519204714E-05</v>
      </c>
    </row>
    <row r="33" spans="2:38" s="19" customFormat="1" ht="12.75">
      <c r="B33" s="19">
        <v>29</v>
      </c>
      <c r="C33" s="19" t="s">
        <v>127</v>
      </c>
      <c r="E33" s="25">
        <v>0.004085156447874765</v>
      </c>
      <c r="F33" s="25">
        <v>0.019836678017654645</v>
      </c>
      <c r="G33" s="25">
        <v>0.007164863509350146</v>
      </c>
      <c r="N33" s="27">
        <f t="shared" si="28"/>
        <v>34.67603610097101</v>
      </c>
      <c r="O33" s="27">
        <f t="shared" si="28"/>
        <v>20.422456131734087</v>
      </c>
      <c r="P33" s="27">
        <f t="shared" si="28"/>
        <v>8.782469775241864</v>
      </c>
      <c r="Q33" s="27">
        <f t="shared" si="4"/>
        <v>63.88096200794696</v>
      </c>
      <c r="R33" s="27">
        <v>105</v>
      </c>
      <c r="S33" s="27">
        <f t="shared" si="22"/>
        <v>41.11903799205304</v>
      </c>
      <c r="T33" s="19" t="s">
        <v>217</v>
      </c>
      <c r="U33" s="27">
        <f>E33*J$13*($R33+$S33)/$R33+5</f>
        <v>53.25551463287225</v>
      </c>
      <c r="V33" s="27">
        <f>F33*K$13*($R33+$S33)/$R33+3</f>
        <v>31.420091841941808</v>
      </c>
      <c r="W33" s="27">
        <f>G33*L$13*($R33+$S33)/$R33+1.3</f>
        <v>13.521771759548798</v>
      </c>
      <c r="X33" s="27">
        <f t="shared" si="5"/>
        <v>98.19737823436286</v>
      </c>
      <c r="Y33" s="27">
        <f t="shared" si="12"/>
        <v>105</v>
      </c>
      <c r="Z33" s="27">
        <f t="shared" si="23"/>
        <v>6.8026217656371415</v>
      </c>
      <c r="AB33" s="27">
        <f t="shared" si="24"/>
        <v>53.255514632872256</v>
      </c>
      <c r="AC33" s="27">
        <f t="shared" si="26"/>
        <v>31.420091841941804</v>
      </c>
      <c r="AD33" s="27">
        <f t="shared" si="25"/>
        <v>14.02580312792331</v>
      </c>
      <c r="AE33" s="27">
        <f t="shared" si="6"/>
        <v>98.70140960273737</v>
      </c>
      <c r="AF33" s="27">
        <f t="shared" si="16"/>
        <v>105</v>
      </c>
      <c r="AG33" s="27">
        <f t="shared" si="17"/>
        <v>6.298590397262629</v>
      </c>
      <c r="AI33" s="101">
        <f t="shared" si="21"/>
        <v>0.006288239672904195</v>
      </c>
      <c r="AJ33" s="101">
        <f t="shared" si="21"/>
        <v>0.028503119282762054</v>
      </c>
      <c r="AK33" s="101">
        <f t="shared" si="21"/>
        <v>0.010791218141036452</v>
      </c>
      <c r="AL33" s="101">
        <f t="shared" si="21"/>
        <v>0.009079208684885834</v>
      </c>
    </row>
    <row r="34" spans="2:38" s="19" customFormat="1" ht="12.75">
      <c r="B34" s="19">
        <v>30</v>
      </c>
      <c r="C34" s="19" t="s">
        <v>128</v>
      </c>
      <c r="E34" s="25">
        <v>0.0027234376319165104</v>
      </c>
      <c r="F34" s="25">
        <v>0.0052897808047079045</v>
      </c>
      <c r="G34" s="25">
        <v>0.0057318908074801165</v>
      </c>
      <c r="N34" s="27">
        <f t="shared" si="28"/>
        <v>23.117357400647343</v>
      </c>
      <c r="O34" s="27">
        <f t="shared" si="28"/>
        <v>5.445988301795756</v>
      </c>
      <c r="P34" s="27">
        <f t="shared" si="28"/>
        <v>7.025975820193492</v>
      </c>
      <c r="Q34" s="27">
        <f t="shared" si="4"/>
        <v>35.589321522636595</v>
      </c>
      <c r="R34" s="27">
        <v>0</v>
      </c>
      <c r="S34" s="27">
        <f t="shared" si="22"/>
        <v>-35.589321522636595</v>
      </c>
      <c r="U34" s="27">
        <f aca="true" t="shared" si="30" ref="U34:W35">E34*J$13</f>
        <v>23.117357400647343</v>
      </c>
      <c r="V34" s="27">
        <f t="shared" si="30"/>
        <v>5.445988301795756</v>
      </c>
      <c r="W34" s="27">
        <f t="shared" si="30"/>
        <v>7.025975820193492</v>
      </c>
      <c r="X34" s="27">
        <f t="shared" si="5"/>
        <v>35.589321522636595</v>
      </c>
      <c r="Y34" s="27">
        <f t="shared" si="12"/>
        <v>0</v>
      </c>
      <c r="Z34" s="27">
        <f t="shared" si="23"/>
        <v>-35.589321522636595</v>
      </c>
      <c r="AB34" s="27">
        <f t="shared" si="24"/>
        <v>23.117357400647347</v>
      </c>
      <c r="AC34" s="27">
        <f t="shared" si="26"/>
        <v>5.445988301795756</v>
      </c>
      <c r="AD34" s="27">
        <f t="shared" si="25"/>
        <v>7.28787287553445</v>
      </c>
      <c r="AE34" s="27">
        <f t="shared" si="6"/>
        <v>35.85121857797755</v>
      </c>
      <c r="AF34" s="27">
        <f t="shared" si="16"/>
        <v>0</v>
      </c>
      <c r="AG34" s="27">
        <f t="shared" si="17"/>
        <v>-35.85121857797755</v>
      </c>
      <c r="AI34" s="101">
        <f t="shared" si="21"/>
        <v>0.0027296231186868893</v>
      </c>
      <c r="AJ34" s="101">
        <f t="shared" si="21"/>
        <v>0.004940394667191969</v>
      </c>
      <c r="AK34" s="101">
        <f t="shared" si="21"/>
        <v>0.005607167394747198</v>
      </c>
      <c r="AL34" s="101">
        <f t="shared" si="21"/>
        <v>0.0032978322841286625</v>
      </c>
    </row>
    <row r="35" spans="2:38" s="19" customFormat="1" ht="12.75">
      <c r="B35" s="19">
        <v>31</v>
      </c>
      <c r="C35" s="19" t="s">
        <v>129</v>
      </c>
      <c r="E35" s="25">
        <v>0.008578828540537008</v>
      </c>
      <c r="F35" s="25">
        <v>0.00011020376676474802</v>
      </c>
      <c r="G35" s="25">
        <v>0.004657161281077595</v>
      </c>
      <c r="N35" s="27">
        <f t="shared" si="28"/>
        <v>72.81967581203912</v>
      </c>
      <c r="O35" s="27">
        <f t="shared" si="28"/>
        <v>0.11345808962074493</v>
      </c>
      <c r="P35" s="27">
        <f t="shared" si="28"/>
        <v>5.708605353907212</v>
      </c>
      <c r="Q35" s="27">
        <f t="shared" si="4"/>
        <v>78.64173925556709</v>
      </c>
      <c r="R35" s="27">
        <v>65.2199999999999</v>
      </c>
      <c r="S35" s="27">
        <f t="shared" si="22"/>
        <v>-13.42173925556719</v>
      </c>
      <c r="U35" s="27">
        <f t="shared" si="30"/>
        <v>72.81967581203912</v>
      </c>
      <c r="V35" s="27">
        <f t="shared" si="30"/>
        <v>0.11345808962074493</v>
      </c>
      <c r="W35" s="27">
        <f t="shared" si="30"/>
        <v>5.708605353907212</v>
      </c>
      <c r="X35" s="27">
        <f t="shared" si="5"/>
        <v>78.64173925556709</v>
      </c>
      <c r="Y35" s="27">
        <f t="shared" si="12"/>
        <v>65.2199999999999</v>
      </c>
      <c r="Z35" s="27">
        <f t="shared" si="23"/>
        <v>-13.42173925556719</v>
      </c>
      <c r="AB35" s="27">
        <f t="shared" si="24"/>
        <v>72.81967581203914</v>
      </c>
      <c r="AC35" s="27">
        <f t="shared" si="26"/>
        <v>0.11345808962074493</v>
      </c>
      <c r="AD35" s="27">
        <f t="shared" si="25"/>
        <v>5.921396711371742</v>
      </c>
      <c r="AE35" s="27">
        <f t="shared" si="6"/>
        <v>78.85453061303163</v>
      </c>
      <c r="AF35" s="27">
        <f t="shared" si="16"/>
        <v>65.2199999999999</v>
      </c>
      <c r="AG35" s="27">
        <f t="shared" si="17"/>
        <v>-13.634530613031728</v>
      </c>
      <c r="AI35" s="101">
        <f t="shared" si="21"/>
        <v>0.008598312823863702</v>
      </c>
      <c r="AJ35" s="101">
        <f t="shared" si="21"/>
        <v>0.0001029248888998327</v>
      </c>
      <c r="AK35" s="101">
        <f t="shared" si="21"/>
        <v>0.004555823508232099</v>
      </c>
      <c r="AL35" s="101">
        <f t="shared" si="21"/>
        <v>0.007253561444218491</v>
      </c>
    </row>
    <row r="36" spans="2:38" s="19" customFormat="1" ht="12.75">
      <c r="B36" s="19">
        <v>32</v>
      </c>
      <c r="C36" s="19" t="s">
        <v>130</v>
      </c>
      <c r="E36" s="25">
        <v>0.0065362503165996245</v>
      </c>
      <c r="F36" s="25">
        <v>0.0018734640350007163</v>
      </c>
      <c r="G36" s="25">
        <v>0.002149459052805044</v>
      </c>
      <c r="N36" s="27">
        <f t="shared" si="28"/>
        <v>55.48165776155362</v>
      </c>
      <c r="O36" s="27">
        <f t="shared" si="28"/>
        <v>1.9287875235526637</v>
      </c>
      <c r="P36" s="27">
        <f t="shared" si="28"/>
        <v>2.63474093257256</v>
      </c>
      <c r="Q36" s="27">
        <f t="shared" si="4"/>
        <v>60.04518621767885</v>
      </c>
      <c r="R36" s="27">
        <v>63.939999999999905</v>
      </c>
      <c r="S36" s="27">
        <f t="shared" si="22"/>
        <v>3.8948137823210587</v>
      </c>
      <c r="T36" s="19" t="s">
        <v>217</v>
      </c>
      <c r="U36" s="27">
        <f>E36*J$13*($R36+$S36)/$R36</f>
        <v>58.86124370643506</v>
      </c>
      <c r="V36" s="27">
        <f>F36*K$13*($R36+$S36)/$R36</f>
        <v>2.0462768608986415</v>
      </c>
      <c r="W36" s="27">
        <f>G36*L$13*($R36+$S36)/$R36</f>
        <v>2.7952324136021045</v>
      </c>
      <c r="X36" s="27">
        <f t="shared" si="5"/>
        <v>63.70275298093581</v>
      </c>
      <c r="Y36" s="27">
        <f t="shared" si="12"/>
        <v>63.939999999999905</v>
      </c>
      <c r="Z36" s="27">
        <f t="shared" si="23"/>
        <v>0.2372470190640925</v>
      </c>
      <c r="AB36" s="27">
        <f t="shared" si="24"/>
        <v>58.86124370643507</v>
      </c>
      <c r="AC36" s="27">
        <f t="shared" si="26"/>
        <v>2.0462768608986415</v>
      </c>
      <c r="AD36" s="27">
        <f t="shared" si="25"/>
        <v>2.8994262162639295</v>
      </c>
      <c r="AE36" s="27">
        <f t="shared" si="6"/>
        <v>63.80694678359764</v>
      </c>
      <c r="AF36" s="27">
        <f t="shared" si="16"/>
        <v>63.939999999999905</v>
      </c>
      <c r="AG36" s="27">
        <f t="shared" si="17"/>
        <v>0.13305321640226708</v>
      </c>
      <c r="AI36" s="101">
        <f t="shared" si="21"/>
        <v>0.0069501461101799285</v>
      </c>
      <c r="AJ36" s="101">
        <f t="shared" si="21"/>
        <v>0.0018563049957063809</v>
      </c>
      <c r="AK36" s="101">
        <f t="shared" si="21"/>
        <v>0.0022307699957126526</v>
      </c>
      <c r="AL36" s="101">
        <f t="shared" si="21"/>
        <v>0.005869385125555706</v>
      </c>
    </row>
    <row r="37" spans="2:38" s="19" customFormat="1" ht="12.75">
      <c r="B37" s="19">
        <v>33</v>
      </c>
      <c r="C37" s="19" t="s">
        <v>131</v>
      </c>
      <c r="E37" s="25">
        <v>0.021869204184289576</v>
      </c>
      <c r="F37" s="25">
        <v>0.0015428527347064722</v>
      </c>
      <c r="G37" s="25">
        <v>0.005612476415657615</v>
      </c>
      <c r="N37" s="27">
        <f t="shared" si="28"/>
        <v>185.63237992719814</v>
      </c>
      <c r="O37" s="27">
        <f t="shared" si="28"/>
        <v>1.588413254690429</v>
      </c>
      <c r="P37" s="27">
        <f t="shared" si="28"/>
        <v>6.879601323939462</v>
      </c>
      <c r="Q37" s="27">
        <f t="shared" si="4"/>
        <v>194.10039450582804</v>
      </c>
      <c r="R37" s="27">
        <v>76.64</v>
      </c>
      <c r="S37" s="27">
        <f t="shared" si="22"/>
        <v>-117.46039450582803</v>
      </c>
      <c r="U37" s="27">
        <f aca="true" t="shared" si="31" ref="U37:W38">E37*J$13</f>
        <v>185.63237992719814</v>
      </c>
      <c r="V37" s="27">
        <f t="shared" si="31"/>
        <v>1.588413254690429</v>
      </c>
      <c r="W37" s="27">
        <f t="shared" si="31"/>
        <v>6.879601323939462</v>
      </c>
      <c r="X37" s="27">
        <f t="shared" si="5"/>
        <v>194.10039450582804</v>
      </c>
      <c r="Y37" s="27">
        <f t="shared" si="12"/>
        <v>76.64</v>
      </c>
      <c r="Z37" s="27">
        <f t="shared" si="23"/>
        <v>-117.46039450582803</v>
      </c>
      <c r="AB37" s="27">
        <f t="shared" si="24"/>
        <v>185.63237992719817</v>
      </c>
      <c r="AC37" s="27">
        <f t="shared" si="26"/>
        <v>1.588413254690429</v>
      </c>
      <c r="AD37" s="27">
        <f t="shared" si="25"/>
        <v>7.136042190627484</v>
      </c>
      <c r="AE37" s="27">
        <f t="shared" si="6"/>
        <v>194.3568353725161</v>
      </c>
      <c r="AF37" s="27">
        <f t="shared" si="16"/>
        <v>76.64</v>
      </c>
      <c r="AG37" s="27">
        <f t="shared" si="17"/>
        <v>-117.71683537251609</v>
      </c>
      <c r="AI37" s="101">
        <f t="shared" si="21"/>
        <v>0.021918873643055718</v>
      </c>
      <c r="AJ37" s="101">
        <f t="shared" si="21"/>
        <v>0.0014409484445976578</v>
      </c>
      <c r="AK37" s="101">
        <f t="shared" si="21"/>
        <v>0.005490351407356633</v>
      </c>
      <c r="AL37" s="101">
        <f t="shared" si="21"/>
        <v>0.01787822762393593</v>
      </c>
    </row>
    <row r="38" spans="2:38" s="19" customFormat="1" ht="12.75">
      <c r="B38" s="19">
        <v>34</v>
      </c>
      <c r="C38" s="19" t="s">
        <v>132</v>
      </c>
      <c r="E38" s="25">
        <v>0.0023149219871290336</v>
      </c>
      <c r="F38" s="25">
        <v>0.00022040753352949605</v>
      </c>
      <c r="G38" s="25">
        <v>0.00011941439182250244</v>
      </c>
      <c r="N38" s="27">
        <f t="shared" si="28"/>
        <v>19.64975379055024</v>
      </c>
      <c r="O38" s="27">
        <f t="shared" si="28"/>
        <v>0.22691617924148985</v>
      </c>
      <c r="P38" s="27">
        <f t="shared" si="28"/>
        <v>0.1463744962540311</v>
      </c>
      <c r="Q38" s="27">
        <f t="shared" si="4"/>
        <v>20.023044466045757</v>
      </c>
      <c r="R38" s="27">
        <v>13.13</v>
      </c>
      <c r="S38" s="27">
        <f t="shared" si="22"/>
        <v>-6.893044466045756</v>
      </c>
      <c r="U38" s="27">
        <f t="shared" si="31"/>
        <v>19.64975379055024</v>
      </c>
      <c r="V38" s="27">
        <f t="shared" si="31"/>
        <v>0.22691617924148985</v>
      </c>
      <c r="W38" s="27">
        <f t="shared" si="31"/>
        <v>0.1463744962540311</v>
      </c>
      <c r="X38" s="27">
        <f t="shared" si="5"/>
        <v>20.023044466045757</v>
      </c>
      <c r="Y38" s="27">
        <f t="shared" si="12"/>
        <v>13.13</v>
      </c>
      <c r="Z38" s="27">
        <f t="shared" si="23"/>
        <v>-6.893044466045756</v>
      </c>
      <c r="AB38" s="27">
        <f t="shared" si="24"/>
        <v>19.649753790550243</v>
      </c>
      <c r="AC38" s="27">
        <f t="shared" si="26"/>
        <v>0.22691617924148985</v>
      </c>
      <c r="AD38" s="27">
        <f t="shared" si="25"/>
        <v>0.15183068490696774</v>
      </c>
      <c r="AE38" s="27">
        <f t="shared" si="6"/>
        <v>20.0285006546987</v>
      </c>
      <c r="AF38" s="27">
        <f t="shared" si="16"/>
        <v>13.13</v>
      </c>
      <c r="AG38" s="27">
        <f t="shared" si="17"/>
        <v>-6.898500654698699</v>
      </c>
      <c r="AI38" s="101">
        <f aca="true" t="shared" si="32" ref="AI38:AL44">AB38/AB$61</f>
        <v>0.002320179650883856</v>
      </c>
      <c r="AJ38" s="101">
        <f t="shared" si="32"/>
        <v>0.0002058497777996654</v>
      </c>
      <c r="AK38" s="101">
        <f t="shared" si="32"/>
        <v>0.00011681598739056666</v>
      </c>
      <c r="AL38" s="101">
        <f t="shared" si="32"/>
        <v>0.0018423540030611562</v>
      </c>
    </row>
    <row r="39" spans="2:38" s="19" customFormat="1" ht="12.75">
      <c r="B39" s="19">
        <v>35</v>
      </c>
      <c r="C39" s="19" t="s">
        <v>133</v>
      </c>
      <c r="E39" s="25">
        <v>0.04342521304090875</v>
      </c>
      <c r="F39" s="25">
        <v>0.008044874973826605</v>
      </c>
      <c r="G39" s="25">
        <v>0.01624035728786033</v>
      </c>
      <c r="N39" s="27">
        <f t="shared" si="28"/>
        <v>368.6062637533218</v>
      </c>
      <c r="O39" s="27">
        <f t="shared" si="28"/>
        <v>8.28244054231438</v>
      </c>
      <c r="P39" s="27">
        <f t="shared" si="28"/>
        <v>19.906931490548224</v>
      </c>
      <c r="Q39" s="27">
        <f t="shared" si="4"/>
        <v>396.7956357861844</v>
      </c>
      <c r="R39" s="27">
        <v>527.200009999999</v>
      </c>
      <c r="S39" s="27">
        <f t="shared" si="22"/>
        <v>130.4043742138146</v>
      </c>
      <c r="T39" s="19" t="s">
        <v>217</v>
      </c>
      <c r="U39" s="27">
        <f>E39*J$13*($R39+$S39)/$R39+25</f>
        <v>484.78203811653606</v>
      </c>
      <c r="V39" s="27">
        <f>F39*K$13*($R39+$S39)/$R39+10</f>
        <v>20.33112501764972</v>
      </c>
      <c r="W39" s="27">
        <f>G39*L$13*($R39+$S39)/$R39+2.5</f>
        <v>27.33096581206166</v>
      </c>
      <c r="X39" s="27">
        <f t="shared" si="5"/>
        <v>532.4441289462474</v>
      </c>
      <c r="Y39" s="27">
        <f t="shared" si="12"/>
        <v>527.200009999999</v>
      </c>
      <c r="Z39" s="27">
        <f t="shared" si="23"/>
        <v>-5.2441189462483635</v>
      </c>
      <c r="AB39" s="27">
        <f t="shared" si="24"/>
        <v>484.7820381165361</v>
      </c>
      <c r="AC39" s="27">
        <f t="shared" si="26"/>
        <v>20.33112501764972</v>
      </c>
      <c r="AD39" s="27">
        <f t="shared" si="25"/>
        <v>28.349742370505076</v>
      </c>
      <c r="AE39" s="27">
        <f t="shared" si="6"/>
        <v>533.4629055046909</v>
      </c>
      <c r="AF39" s="27">
        <f t="shared" si="16"/>
        <v>527.200009999999</v>
      </c>
      <c r="AG39" s="27">
        <f t="shared" si="17"/>
        <v>-6.262895504691869</v>
      </c>
      <c r="AI39" s="101">
        <f t="shared" si="32"/>
        <v>0.057241501951688936</v>
      </c>
      <c r="AJ39" s="101">
        <f t="shared" si="32"/>
        <v>0.018443627868625728</v>
      </c>
      <c r="AK39" s="101">
        <f t="shared" si="32"/>
        <v>0.02181181721802768</v>
      </c>
      <c r="AL39" s="101">
        <f t="shared" si="32"/>
        <v>0.04907144755294653</v>
      </c>
    </row>
    <row r="40" spans="2:38" s="19" customFormat="1" ht="12.75">
      <c r="B40" s="19">
        <v>36</v>
      </c>
      <c r="C40" s="19" t="s">
        <v>134</v>
      </c>
      <c r="E40" s="25">
        <v>0.0019881094712990524</v>
      </c>
      <c r="F40" s="25">
        <v>0.00022040753352949605</v>
      </c>
      <c r="G40" s="25">
        <v>0.0003582431754675073</v>
      </c>
      <c r="N40" s="27">
        <f t="shared" si="28"/>
        <v>16.875670902472557</v>
      </c>
      <c r="O40" s="27">
        <f t="shared" si="28"/>
        <v>0.22691617924148985</v>
      </c>
      <c r="P40" s="27">
        <f t="shared" si="28"/>
        <v>0.43912348876209323</v>
      </c>
      <c r="Q40" s="27">
        <f t="shared" si="4"/>
        <v>17.541710570476138</v>
      </c>
      <c r="R40" s="27">
        <v>18.67</v>
      </c>
      <c r="S40" s="27">
        <f t="shared" si="22"/>
        <v>1.1282894295238641</v>
      </c>
      <c r="U40" s="27">
        <f>E40*J$13</f>
        <v>16.875670902472557</v>
      </c>
      <c r="V40" s="27">
        <f>F40*K$13+4</f>
        <v>4.22691617924149</v>
      </c>
      <c r="W40" s="27">
        <f>G40*L$13+3</f>
        <v>3.4391234887620934</v>
      </c>
      <c r="X40" s="27">
        <f t="shared" si="5"/>
        <v>24.54171057047614</v>
      </c>
      <c r="Y40" s="27">
        <f t="shared" si="12"/>
        <v>18.67</v>
      </c>
      <c r="Z40" s="27">
        <f t="shared" si="23"/>
        <v>-5.871710570476139</v>
      </c>
      <c r="AB40" s="27">
        <f t="shared" si="24"/>
        <v>16.87567090247256</v>
      </c>
      <c r="AC40" s="27">
        <f t="shared" si="26"/>
        <v>4.22691617924149</v>
      </c>
      <c r="AD40" s="27">
        <f t="shared" si="25"/>
        <v>3.5673186801079</v>
      </c>
      <c r="AE40" s="27">
        <f t="shared" si="6"/>
        <v>24.669905761821948</v>
      </c>
      <c r="AF40" s="27">
        <f t="shared" si="16"/>
        <v>18.67</v>
      </c>
      <c r="AG40" s="27">
        <f t="shared" si="17"/>
        <v>-5.999905761821946</v>
      </c>
      <c r="AI40" s="101">
        <f t="shared" si="32"/>
        <v>0.001992624876641429</v>
      </c>
      <c r="AJ40" s="101">
        <f t="shared" si="32"/>
        <v>0.003834498532379566</v>
      </c>
      <c r="AK40" s="101">
        <f t="shared" si="32"/>
        <v>0.002744635277177054</v>
      </c>
      <c r="AL40" s="101">
        <f t="shared" si="32"/>
        <v>0.002269301153342768</v>
      </c>
    </row>
    <row r="41" spans="2:38" s="19" customFormat="1" ht="12.75">
      <c r="B41" s="19">
        <v>37</v>
      </c>
      <c r="C41" s="19" t="s">
        <v>135</v>
      </c>
      <c r="E41" s="25">
        <v>0.0019064063423415573</v>
      </c>
      <c r="F41" s="25">
        <v>0</v>
      </c>
      <c r="G41" s="25">
        <v>0</v>
      </c>
      <c r="N41" s="27">
        <f t="shared" si="28"/>
        <v>16.18215018045314</v>
      </c>
      <c r="O41" s="27">
        <f t="shared" si="28"/>
        <v>0</v>
      </c>
      <c r="P41" s="27">
        <f t="shared" si="28"/>
        <v>0</v>
      </c>
      <c r="Q41" s="27">
        <f t="shared" si="4"/>
        <v>16.18215018045314</v>
      </c>
      <c r="R41" s="27">
        <v>32.1599999999999</v>
      </c>
      <c r="S41" s="27">
        <f>R41-Q41</f>
        <v>15.977849819546758</v>
      </c>
      <c r="T41" s="19" t="s">
        <v>217</v>
      </c>
      <c r="U41" s="27">
        <f>E41*J$13*($R41+$S41)/$R41</f>
        <v>24.221825719651914</v>
      </c>
      <c r="V41" s="27">
        <f>F41*K$13*($R41+$S41)/$R41+6</f>
        <v>6</v>
      </c>
      <c r="W41" s="27">
        <f>G41*L$13*($R41+$S41)/$R41+2.2</f>
        <v>2.2</v>
      </c>
      <c r="X41" s="27">
        <f t="shared" si="5"/>
        <v>32.42182571965191</v>
      </c>
      <c r="Y41" s="27">
        <f t="shared" si="12"/>
        <v>32.1599999999999</v>
      </c>
      <c r="Z41" s="27">
        <f>Y41-X41</f>
        <v>-0.2618257196520162</v>
      </c>
      <c r="AB41" s="27">
        <f t="shared" si="24"/>
        <v>24.221825719651918</v>
      </c>
      <c r="AC41" s="27">
        <f t="shared" si="26"/>
        <v>6</v>
      </c>
      <c r="AD41" s="27">
        <f t="shared" si="25"/>
        <v>2.282006191950465</v>
      </c>
      <c r="AE41" s="27">
        <f t="shared" si="6"/>
        <v>32.50383191160238</v>
      </c>
      <c r="AF41" s="27">
        <f t="shared" si="16"/>
        <v>32.1599999999999</v>
      </c>
      <c r="AG41" s="27">
        <f t="shared" si="17"/>
        <v>-0.3438319116024857</v>
      </c>
      <c r="AI41" s="101">
        <f t="shared" si="32"/>
        <v>0.0028600351811541897</v>
      </c>
      <c r="AJ41" s="101">
        <f t="shared" si="32"/>
        <v>0.00544297313186985</v>
      </c>
      <c r="AK41" s="101">
        <f t="shared" si="32"/>
        <v>0.0017557373643372599</v>
      </c>
      <c r="AL41" s="101">
        <f t="shared" si="32"/>
        <v>0.002989917511529695</v>
      </c>
    </row>
    <row r="42" spans="2:38" s="19" customFormat="1" ht="12.75">
      <c r="B42" s="19">
        <v>38</v>
      </c>
      <c r="C42" s="19" t="s">
        <v>136</v>
      </c>
      <c r="E42" s="25">
        <v>0</v>
      </c>
      <c r="F42" s="25">
        <v>0</v>
      </c>
      <c r="G42" s="25">
        <v>0</v>
      </c>
      <c r="N42" s="27">
        <f t="shared" si="28"/>
        <v>0</v>
      </c>
      <c r="O42" s="27">
        <f t="shared" si="28"/>
        <v>0</v>
      </c>
      <c r="P42" s="27">
        <f t="shared" si="28"/>
        <v>0</v>
      </c>
      <c r="Q42" s="27">
        <f t="shared" si="4"/>
        <v>0</v>
      </c>
      <c r="R42" s="27">
        <v>0</v>
      </c>
      <c r="S42" s="27">
        <f>R42-Q42</f>
        <v>0</v>
      </c>
      <c r="U42" s="27">
        <f>E42*J$13</f>
        <v>0</v>
      </c>
      <c r="V42" s="27">
        <f>F42*K$13</f>
        <v>0</v>
      </c>
      <c r="W42" s="27">
        <f>G42*L$13</f>
        <v>0</v>
      </c>
      <c r="X42" s="27">
        <f t="shared" si="5"/>
        <v>0</v>
      </c>
      <c r="Y42" s="27">
        <f t="shared" si="12"/>
        <v>0</v>
      </c>
      <c r="Z42" s="27">
        <f>Y42-X42</f>
        <v>0</v>
      </c>
      <c r="AB42" s="27">
        <f t="shared" si="24"/>
        <v>0</v>
      </c>
      <c r="AC42" s="27">
        <f t="shared" si="26"/>
        <v>0</v>
      </c>
      <c r="AD42" s="27">
        <f t="shared" si="25"/>
        <v>0</v>
      </c>
      <c r="AE42" s="27">
        <f t="shared" si="6"/>
        <v>0</v>
      </c>
      <c r="AF42" s="27">
        <f t="shared" si="16"/>
        <v>0</v>
      </c>
      <c r="AG42" s="27">
        <f t="shared" si="17"/>
        <v>0</v>
      </c>
      <c r="AI42" s="101">
        <f t="shared" si="32"/>
        <v>0</v>
      </c>
      <c r="AJ42" s="101">
        <f t="shared" si="32"/>
        <v>0</v>
      </c>
      <c r="AK42" s="101">
        <f t="shared" si="32"/>
        <v>0</v>
      </c>
      <c r="AL42" s="101">
        <f t="shared" si="32"/>
        <v>0</v>
      </c>
    </row>
    <row r="43" spans="2:38" s="19" customFormat="1" ht="12.75">
      <c r="B43" s="19">
        <v>39</v>
      </c>
      <c r="C43" s="19" t="s">
        <v>137</v>
      </c>
      <c r="E43" s="25">
        <v>0.00389451581364061</v>
      </c>
      <c r="F43" s="25">
        <v>0.00033061130029424403</v>
      </c>
      <c r="G43" s="25">
        <v>0.0017912158773375365</v>
      </c>
      <c r="N43" s="27">
        <f t="shared" si="28"/>
        <v>33.0578210829257</v>
      </c>
      <c r="O43" s="27">
        <f t="shared" si="28"/>
        <v>0.34037426886223476</v>
      </c>
      <c r="P43" s="27">
        <f t="shared" si="28"/>
        <v>2.195617443810466</v>
      </c>
      <c r="Q43" s="27">
        <f t="shared" si="4"/>
        <v>35.593812795598396</v>
      </c>
      <c r="R43" s="27">
        <v>35.59</v>
      </c>
      <c r="S43" s="27">
        <f>R43-Q43</f>
        <v>-0.0038127955983924267</v>
      </c>
      <c r="T43" s="19" t="s">
        <v>217</v>
      </c>
      <c r="U43" s="27">
        <f>E43*J$13*($R43+$S43)/$R43</f>
        <v>33.05427956242226</v>
      </c>
      <c r="V43" s="27">
        <f>F43*K$13*($R43+$S43)/$R43</f>
        <v>0.34033780419479664</v>
      </c>
      <c r="W43" s="27">
        <f>G43*L$13*($R43+$S43)/$R43</f>
        <v>2.195382224913992</v>
      </c>
      <c r="X43" s="27">
        <f t="shared" si="5"/>
        <v>35.58999959153105</v>
      </c>
      <c r="Y43" s="27">
        <f t="shared" si="12"/>
        <v>35.59</v>
      </c>
      <c r="Z43" s="27">
        <f>Y43-X43</f>
        <v>4.0846895643653625E-07</v>
      </c>
      <c r="AB43" s="27">
        <f t="shared" si="24"/>
        <v>33.05427956242226</v>
      </c>
      <c r="AC43" s="27">
        <f t="shared" si="26"/>
        <v>0.34033780419479664</v>
      </c>
      <c r="AD43" s="27">
        <f t="shared" si="25"/>
        <v>2.277216286796235</v>
      </c>
      <c r="AE43" s="27">
        <f t="shared" si="6"/>
        <v>35.67183365341329</v>
      </c>
      <c r="AF43" s="27">
        <f t="shared" si="16"/>
        <v>35.59</v>
      </c>
      <c r="AG43" s="27">
        <f t="shared" si="17"/>
        <v>-0.08183365341328397</v>
      </c>
      <c r="AI43" s="101">
        <f t="shared" si="32"/>
        <v>0.0039029428883857113</v>
      </c>
      <c r="AJ43" s="101">
        <f t="shared" si="32"/>
        <v>0.0003087415873319767</v>
      </c>
      <c r="AK43" s="101">
        <f t="shared" si="32"/>
        <v>0.0017520520914924367</v>
      </c>
      <c r="AL43" s="101">
        <f t="shared" si="32"/>
        <v>0.0032813312719182325</v>
      </c>
    </row>
    <row r="44" spans="2:38" s="19" customFormat="1" ht="12.75">
      <c r="B44" s="19">
        <v>40</v>
      </c>
      <c r="C44" s="19" t="s">
        <v>138</v>
      </c>
      <c r="E44" s="25">
        <v>0</v>
      </c>
      <c r="F44" s="25">
        <v>0</v>
      </c>
      <c r="G44" s="25">
        <v>0</v>
      </c>
      <c r="N44" s="27">
        <f t="shared" si="28"/>
        <v>0</v>
      </c>
      <c r="O44" s="27">
        <f t="shared" si="28"/>
        <v>0</v>
      </c>
      <c r="P44" s="27">
        <f t="shared" si="28"/>
        <v>0</v>
      </c>
      <c r="Q44" s="27">
        <f t="shared" si="4"/>
        <v>0</v>
      </c>
      <c r="R44" s="27">
        <v>0</v>
      </c>
      <c r="S44" s="27">
        <f>R44-Q44</f>
        <v>0</v>
      </c>
      <c r="U44" s="27">
        <f>E44*J$13</f>
        <v>0</v>
      </c>
      <c r="V44" s="27">
        <f>F44*K$13</f>
        <v>0</v>
      </c>
      <c r="W44" s="27">
        <f>G44*L$13</f>
        <v>0</v>
      </c>
      <c r="X44" s="27">
        <f t="shared" si="5"/>
        <v>0</v>
      </c>
      <c r="Y44" s="27">
        <f t="shared" si="12"/>
        <v>0</v>
      </c>
      <c r="Z44" s="27">
        <f>Y44-X44</f>
        <v>0</v>
      </c>
      <c r="AB44" s="27">
        <f t="shared" si="24"/>
        <v>0</v>
      </c>
      <c r="AC44" s="27">
        <f t="shared" si="26"/>
        <v>0</v>
      </c>
      <c r="AD44" s="27">
        <f t="shared" si="25"/>
        <v>0</v>
      </c>
      <c r="AE44" s="27">
        <f t="shared" si="6"/>
        <v>0</v>
      </c>
      <c r="AF44" s="27">
        <f t="shared" si="16"/>
        <v>0</v>
      </c>
      <c r="AG44" s="27">
        <f t="shared" si="17"/>
        <v>0</v>
      </c>
      <c r="AI44" s="101">
        <f t="shared" si="32"/>
        <v>0</v>
      </c>
      <c r="AJ44" s="101">
        <f t="shared" si="32"/>
        <v>0</v>
      </c>
      <c r="AK44" s="101">
        <f t="shared" si="32"/>
        <v>0</v>
      </c>
      <c r="AL44" s="101">
        <f t="shared" si="32"/>
        <v>0</v>
      </c>
    </row>
    <row r="45" spans="2:26" s="19" customFormat="1" ht="12.75">
      <c r="B45" s="19">
        <v>41</v>
      </c>
      <c r="C45" s="19" t="s">
        <v>139</v>
      </c>
      <c r="E45" s="25"/>
      <c r="F45" s="25"/>
      <c r="G45" s="25"/>
      <c r="N45" s="27"/>
      <c r="O45" s="27"/>
      <c r="P45" s="27"/>
      <c r="Q45" s="27"/>
      <c r="Y45" s="27"/>
      <c r="Z45" s="27"/>
    </row>
    <row r="46" spans="2:17" s="19" customFormat="1" ht="12.75">
      <c r="B46" s="19">
        <v>42</v>
      </c>
      <c r="C46" s="19" t="s">
        <v>139</v>
      </c>
      <c r="E46" s="25"/>
      <c r="F46" s="25"/>
      <c r="G46" s="25"/>
      <c r="N46" s="27"/>
      <c r="O46" s="27"/>
      <c r="P46" s="27"/>
      <c r="Q46" s="27"/>
    </row>
    <row r="47" spans="5:17" s="19" customFormat="1" ht="12.75">
      <c r="E47"/>
      <c r="F47"/>
      <c r="G47"/>
      <c r="Q47" s="27"/>
    </row>
    <row r="48" spans="2:38" s="19" customFormat="1" ht="12.75">
      <c r="B48" s="33" t="s">
        <v>228</v>
      </c>
      <c r="C48" s="33"/>
      <c r="D48" s="33"/>
      <c r="E48" s="41">
        <f>SUM(E5:E46)</f>
        <v>0.4304338708491405</v>
      </c>
      <c r="F48" s="41">
        <f>SUM(F5:F46)</f>
        <v>0.5252421727774652</v>
      </c>
      <c r="G48" s="41">
        <f>SUM(G5:G46)</f>
        <v>0.418451911824413</v>
      </c>
      <c r="N48" s="29">
        <f>SUM(N5:N46)</f>
        <v>3218.7240736090826</v>
      </c>
      <c r="O48" s="29">
        <f>SUM(O5:O46)</f>
        <v>365.6477258740248</v>
      </c>
      <c r="P48" s="29">
        <f>SUM(P5:P46)</f>
        <v>339.1728561597517</v>
      </c>
      <c r="Q48" s="29">
        <f>SUM(N48:P48)</f>
        <v>3923.5446556428587</v>
      </c>
      <c r="R48" s="29">
        <f>SUM(R5:R46)</f>
        <v>4649.602909999997</v>
      </c>
      <c r="S48" s="29">
        <f>R48-Q48</f>
        <v>726.0582543571381</v>
      </c>
      <c r="U48" s="29">
        <f>SUM(U5:U46)</f>
        <v>3464.4171132139836</v>
      </c>
      <c r="V48" s="29">
        <f>SUM(V5:V46)</f>
        <v>448.5612634504878</v>
      </c>
      <c r="W48" s="29">
        <f>SUM(W5:W46)</f>
        <v>374.69508294294195</v>
      </c>
      <c r="X48" s="29">
        <f>SUM(X5:X46)</f>
        <v>4287.673459607413</v>
      </c>
      <c r="Y48" s="29">
        <f>SUM(Y5:Y46)</f>
        <v>4649.602909999997</v>
      </c>
      <c r="Z48" s="29">
        <f>Y48-X48</f>
        <v>361.92945039258393</v>
      </c>
      <c r="AB48" s="29">
        <f>SUM(AB5:AB46)</f>
        <v>3634.417113213985</v>
      </c>
      <c r="AC48" s="29">
        <f>SUM(AC5:AC46)</f>
        <v>613.5612634504879</v>
      </c>
      <c r="AD48" s="29">
        <f>SUM(AD5:AD46)</f>
        <v>560.3269054151183</v>
      </c>
      <c r="AE48" s="29">
        <f>SUM(AE5:AE46)</f>
        <v>4808.30528207959</v>
      </c>
      <c r="AF48" s="29">
        <f>SUM(AF5:AF46)</f>
        <v>4649.602909999997</v>
      </c>
      <c r="AG48" s="29">
        <f>AF48-AE48</f>
        <v>-158.70237207959326</v>
      </c>
      <c r="AI48" s="101">
        <f>AB48/AB$61</f>
        <v>0.4291402690734174</v>
      </c>
      <c r="AJ48" s="101">
        <f>AC48/AC$61</f>
        <v>0.5565995786195208</v>
      </c>
      <c r="AK48" s="101">
        <f>AD48/AD$61</f>
        <v>0.4311061414079405</v>
      </c>
      <c r="AL48" s="101">
        <f>AE48/AE$61</f>
        <v>0.4422997326213333</v>
      </c>
    </row>
    <row r="49" spans="2:7" s="19" customFormat="1" ht="12.75">
      <c r="B49"/>
      <c r="E49" s="25"/>
      <c r="F49" s="25"/>
      <c r="G49" s="25"/>
    </row>
    <row r="50" spans="2:30" s="19" customFormat="1" ht="12.75">
      <c r="B50" s="19" t="s">
        <v>229</v>
      </c>
      <c r="E50" s="25"/>
      <c r="F50" s="25"/>
      <c r="G50" s="25"/>
      <c r="U50" s="27">
        <f>SUM(U6:U8)</f>
        <v>666.013</v>
      </c>
      <c r="V50" s="27">
        <f>SUM(V6:V8)</f>
        <v>307.318922</v>
      </c>
      <c r="W50" s="27">
        <f>SUM(W6:W8)</f>
        <v>89.47260299999999</v>
      </c>
      <c r="AB50" s="27">
        <f>SUM(AB6:AB8)</f>
        <v>666.013</v>
      </c>
      <c r="AC50" s="27">
        <f>SUM(AC6:AC8)</f>
        <v>307.318922</v>
      </c>
      <c r="AD50" s="27">
        <f>SUM(AD6:AD8)</f>
        <v>89.47260299999999</v>
      </c>
    </row>
    <row r="51" spans="5:7" s="19" customFormat="1" ht="12.75">
      <c r="E51" s="24"/>
      <c r="F51" s="24"/>
      <c r="G51" s="24"/>
    </row>
    <row r="52" spans="5:7" s="19" customFormat="1" ht="12.75">
      <c r="E52" s="42"/>
      <c r="F52" s="42"/>
      <c r="G52" s="42"/>
    </row>
    <row r="53" spans="2:38" s="19" customFormat="1" ht="12.75">
      <c r="B53" s="51" t="s">
        <v>230</v>
      </c>
      <c r="E53" s="25">
        <v>0.15651596070624185</v>
      </c>
      <c r="F53" s="25">
        <v>0.18855864493448385</v>
      </c>
      <c r="G53" s="25">
        <v>0.2549497265410427</v>
      </c>
      <c r="N53" s="27">
        <f aca="true" t="shared" si="33" ref="N53:P57">E53*J$13</f>
        <v>1328.5545298152028</v>
      </c>
      <c r="O53" s="27">
        <f t="shared" si="33"/>
        <v>194.12679134109456</v>
      </c>
      <c r="P53" s="27">
        <f t="shared" si="33"/>
        <v>312.5095495023564</v>
      </c>
      <c r="Q53" s="27">
        <f>SUM(N53:P53)</f>
        <v>1835.1908706586537</v>
      </c>
      <c r="U53" s="27">
        <f aca="true" t="shared" si="34" ref="U53:W57">N53</f>
        <v>1328.5545298152028</v>
      </c>
      <c r="V53" s="27">
        <f t="shared" si="34"/>
        <v>194.12679134109456</v>
      </c>
      <c r="W53" s="27">
        <f t="shared" si="34"/>
        <v>312.5095495023564</v>
      </c>
      <c r="X53" s="27">
        <f>SUM(U53:W53)</f>
        <v>1835.1908706586537</v>
      </c>
      <c r="AB53" s="27">
        <f aca="true" t="shared" si="35" ref="AB53:AD55">U53*AB$64/AB$62</f>
        <v>1328.5545298152028</v>
      </c>
      <c r="AC53" s="27">
        <f t="shared" si="35"/>
        <v>194.12679134109456</v>
      </c>
      <c r="AD53" s="27">
        <f t="shared" si="35"/>
        <v>324.1585122763761</v>
      </c>
      <c r="AE53" s="27">
        <f>SUM(AB53:AD53)</f>
        <v>1846.8398334326735</v>
      </c>
      <c r="AH53" s="19" t="s">
        <v>231</v>
      </c>
      <c r="AI53" s="101">
        <f aca="true" t="shared" si="36" ref="AI53:AL57">AB53/AB$61</f>
        <v>0.15687144063093553</v>
      </c>
      <c r="AJ53" s="101">
        <f t="shared" si="36"/>
        <v>0.17610448490761374</v>
      </c>
      <c r="AK53" s="101">
        <f t="shared" si="36"/>
        <v>0.24940213307885978</v>
      </c>
      <c r="AL53" s="101">
        <f t="shared" si="36"/>
        <v>0.1698845469662877</v>
      </c>
    </row>
    <row r="54" spans="2:38" s="19" customFormat="1" ht="12.75">
      <c r="B54" s="51" t="s">
        <v>232</v>
      </c>
      <c r="E54" s="25">
        <v>0.4144118872605758</v>
      </c>
      <c r="F54" s="25">
        <v>0.2928114082939355</v>
      </c>
      <c r="G54" s="25">
        <v>0.3289866494709942</v>
      </c>
      <c r="N54" s="27">
        <f t="shared" si="33"/>
        <v>3517.652688869503</v>
      </c>
      <c r="O54" s="27">
        <f t="shared" si="33"/>
        <v>301.45814412231925</v>
      </c>
      <c r="P54" s="27">
        <f t="shared" si="33"/>
        <v>403.26173717985563</v>
      </c>
      <c r="Q54" s="27">
        <f>SUM(N54:P54)</f>
        <v>4222.3725701716785</v>
      </c>
      <c r="U54" s="27">
        <f t="shared" si="34"/>
        <v>3517.652688869503</v>
      </c>
      <c r="V54" s="27">
        <f t="shared" si="34"/>
        <v>301.45814412231925</v>
      </c>
      <c r="W54" s="27">
        <f t="shared" si="34"/>
        <v>403.26173717985563</v>
      </c>
      <c r="X54" s="27">
        <f>SUM(U54:W54)</f>
        <v>4222.3725701716785</v>
      </c>
      <c r="AB54" s="27">
        <f t="shared" si="35"/>
        <v>3517.6526888695034</v>
      </c>
      <c r="AC54" s="27">
        <f t="shared" si="35"/>
        <v>301.45814412231925</v>
      </c>
      <c r="AD54" s="27">
        <f t="shared" si="35"/>
        <v>418.29353691869613</v>
      </c>
      <c r="AE54" s="27">
        <f>SUM(AB54:AD54)</f>
        <v>4237.404369910519</v>
      </c>
      <c r="AH54" s="19" t="s">
        <v>231</v>
      </c>
      <c r="AI54" s="101">
        <f t="shared" si="36"/>
        <v>0.4153531018549905</v>
      </c>
      <c r="AJ54" s="101">
        <f t="shared" si="36"/>
        <v>0.27347142980685546</v>
      </c>
      <c r="AK54" s="101">
        <f t="shared" si="36"/>
        <v>0.3218280452610111</v>
      </c>
      <c r="AL54" s="101">
        <f t="shared" si="36"/>
        <v>0.3897844895175416</v>
      </c>
    </row>
    <row r="55" spans="2:38" s="19" customFormat="1" ht="12.75">
      <c r="B55" s="51" t="s">
        <v>233</v>
      </c>
      <c r="E55" s="25">
        <v>0</v>
      </c>
      <c r="F55" s="25">
        <v>0</v>
      </c>
      <c r="G55" s="25">
        <v>0</v>
      </c>
      <c r="N55" s="27">
        <f t="shared" si="33"/>
        <v>0</v>
      </c>
      <c r="O55" s="27">
        <f t="shared" si="33"/>
        <v>0</v>
      </c>
      <c r="P55" s="27">
        <f t="shared" si="33"/>
        <v>0</v>
      </c>
      <c r="Q55" s="27">
        <f>SUM(N55:P55)</f>
        <v>0</v>
      </c>
      <c r="U55" s="27">
        <f t="shared" si="34"/>
        <v>0</v>
      </c>
      <c r="V55" s="27">
        <f t="shared" si="34"/>
        <v>0</v>
      </c>
      <c r="W55" s="27">
        <f t="shared" si="34"/>
        <v>0</v>
      </c>
      <c r="X55" s="27">
        <f>SUM(U55:W55)</f>
        <v>0</v>
      </c>
      <c r="AB55" s="27">
        <f t="shared" si="35"/>
        <v>0</v>
      </c>
      <c r="AC55" s="27">
        <f t="shared" si="35"/>
        <v>0</v>
      </c>
      <c r="AD55" s="27">
        <f t="shared" si="35"/>
        <v>0</v>
      </c>
      <c r="AE55" s="27">
        <f>SUM(AB55:AD55)</f>
        <v>0</v>
      </c>
      <c r="AI55" s="101">
        <f t="shared" si="36"/>
        <v>0</v>
      </c>
      <c r="AJ55" s="101">
        <f t="shared" si="36"/>
        <v>0</v>
      </c>
      <c r="AK55" s="101">
        <f t="shared" si="36"/>
        <v>0</v>
      </c>
      <c r="AL55" s="101">
        <f t="shared" si="36"/>
        <v>0</v>
      </c>
    </row>
    <row r="56" spans="2:38" s="19" customFormat="1" ht="12.75">
      <c r="B56" s="51" t="s">
        <v>234</v>
      </c>
      <c r="E56" s="25">
        <v>0</v>
      </c>
      <c r="F56" s="25">
        <v>0</v>
      </c>
      <c r="G56" s="25">
        <v>0</v>
      </c>
      <c r="N56" s="27">
        <f t="shared" si="33"/>
        <v>0</v>
      </c>
      <c r="O56" s="27">
        <f t="shared" si="33"/>
        <v>0</v>
      </c>
      <c r="P56" s="27">
        <f t="shared" si="33"/>
        <v>0</v>
      </c>
      <c r="Q56" s="27">
        <f>SUM(N56:P56)</f>
        <v>0</v>
      </c>
      <c r="U56" s="27">
        <f t="shared" si="34"/>
        <v>0</v>
      </c>
      <c r="V56" s="27">
        <f t="shared" si="34"/>
        <v>0</v>
      </c>
      <c r="W56" s="27">
        <f t="shared" si="34"/>
        <v>0</v>
      </c>
      <c r="X56" s="27">
        <f>SUM(U56:W56)</f>
        <v>0</v>
      </c>
      <c r="AB56" s="27">
        <f aca="true" t="shared" si="37" ref="AB56:AD57">U56*AB$64/AB$62</f>
        <v>0</v>
      </c>
      <c r="AC56" s="27">
        <f t="shared" si="37"/>
        <v>0</v>
      </c>
      <c r="AD56" s="27">
        <f t="shared" si="37"/>
        <v>0</v>
      </c>
      <c r="AE56" s="27">
        <f>SUM(AB56:AD56)</f>
        <v>0</v>
      </c>
      <c r="AI56" s="101">
        <f t="shared" si="36"/>
        <v>0</v>
      </c>
      <c r="AJ56" s="101">
        <f t="shared" si="36"/>
        <v>0</v>
      </c>
      <c r="AK56" s="101">
        <f t="shared" si="36"/>
        <v>0</v>
      </c>
      <c r="AL56" s="101">
        <f t="shared" si="36"/>
        <v>0</v>
      </c>
    </row>
    <row r="57" spans="2:38" s="19" customFormat="1" ht="12.75">
      <c r="B57" s="51" t="s">
        <v>235</v>
      </c>
      <c r="E57" s="25">
        <v>-0.0013617188159582552</v>
      </c>
      <c r="F57" s="25">
        <v>-0.006612226005884882</v>
      </c>
      <c r="G57" s="25">
        <v>-0.0023882878364500488</v>
      </c>
      <c r="N57" s="27">
        <f t="shared" si="33"/>
        <v>-11.558678700323672</v>
      </c>
      <c r="O57" s="27">
        <f t="shared" si="33"/>
        <v>-6.807485377244696</v>
      </c>
      <c r="P57" s="27">
        <f t="shared" si="33"/>
        <v>-2.927489925080622</v>
      </c>
      <c r="Q57" s="27">
        <f>SUM(N57:P57)</f>
        <v>-21.29365400264899</v>
      </c>
      <c r="U57" s="27">
        <f t="shared" si="34"/>
        <v>-11.558678700323672</v>
      </c>
      <c r="V57" s="27">
        <f t="shared" si="34"/>
        <v>-6.807485377244696</v>
      </c>
      <c r="W57" s="27">
        <f t="shared" si="34"/>
        <v>-2.927489925080622</v>
      </c>
      <c r="X57" s="27">
        <f>SUM(U57:W57)</f>
        <v>-21.29365400264899</v>
      </c>
      <c r="AB57" s="27">
        <f t="shared" si="37"/>
        <v>-11.558678700323673</v>
      </c>
      <c r="AC57" s="27">
        <f t="shared" si="37"/>
        <v>-6.807485377244696</v>
      </c>
      <c r="AD57" s="27">
        <f t="shared" si="37"/>
        <v>-3.0366136981393548</v>
      </c>
      <c r="AE57" s="27">
        <f>SUM(AB57:AD57)</f>
        <v>-21.402777775707726</v>
      </c>
      <c r="AI57" s="101">
        <f t="shared" si="36"/>
        <v>-0.0013648115593434447</v>
      </c>
      <c r="AJ57" s="101">
        <f t="shared" si="36"/>
        <v>-0.006175493333989962</v>
      </c>
      <c r="AK57" s="101">
        <f t="shared" si="36"/>
        <v>-0.002336319747811333</v>
      </c>
      <c r="AL57" s="101">
        <f t="shared" si="36"/>
        <v>-0.001968769105162788</v>
      </c>
    </row>
    <row r="58" s="19" customFormat="1" ht="12.75"/>
    <row r="59" spans="2:48" s="19" customFormat="1" ht="12.75">
      <c r="B59" s="33" t="s">
        <v>236</v>
      </c>
      <c r="C59" s="33"/>
      <c r="D59" s="33"/>
      <c r="E59" s="41">
        <f>SUM(E53:E57)</f>
        <v>0.5695661291508594</v>
      </c>
      <c r="F59" s="41">
        <f>SUM(F53:F57)</f>
        <v>0.4747578272225344</v>
      </c>
      <c r="G59" s="41">
        <f>SUM(G53:G57)</f>
        <v>0.5815480881755868</v>
      </c>
      <c r="H59" s="33"/>
      <c r="I59" s="33"/>
      <c r="J59" s="33"/>
      <c r="K59" s="33"/>
      <c r="L59" s="33"/>
      <c r="M59" s="33"/>
      <c r="N59" s="29">
        <f>SUM(N53:N57)</f>
        <v>4834.648539984381</v>
      </c>
      <c r="O59" s="29">
        <f>SUM(O53:O57)</f>
        <v>488.7774500861691</v>
      </c>
      <c r="P59" s="29">
        <f>SUM(P53:P57)</f>
        <v>712.8437967571314</v>
      </c>
      <c r="Q59" s="29">
        <f>SUM(Q53:Q57)</f>
        <v>6036.269786827683</v>
      </c>
      <c r="R59" s="29">
        <v>6094</v>
      </c>
      <c r="S59" s="29">
        <f>R59-Q59</f>
        <v>57.730213172317235</v>
      </c>
      <c r="T59" s="33"/>
      <c r="U59" s="29">
        <f>SUM(U53:U57)</f>
        <v>4834.648539984381</v>
      </c>
      <c r="V59" s="29">
        <f>SUM(V53:V57)</f>
        <v>488.7774500861691</v>
      </c>
      <c r="W59" s="29">
        <f>SUM(W53:W57)</f>
        <v>712.8437967571314</v>
      </c>
      <c r="X59" s="29">
        <f>SUM(X53:X57)</f>
        <v>6036.269786827683</v>
      </c>
      <c r="Y59" s="29">
        <v>6094</v>
      </c>
      <c r="Z59" s="29">
        <f>Y59-X59</f>
        <v>57.730213172317235</v>
      </c>
      <c r="AA59" s="33"/>
      <c r="AB59" s="29">
        <f>SUM(AB53:AB57)</f>
        <v>4834.648539984382</v>
      </c>
      <c r="AC59" s="29">
        <f>SUM(AC53:AC57)</f>
        <v>488.7774500861691</v>
      </c>
      <c r="AD59" s="29">
        <f>SUM(AD53:AD57)</f>
        <v>739.4154354969329</v>
      </c>
      <c r="AE59" s="29">
        <f>SUM(AE53:AE57)</f>
        <v>6062.841425567485</v>
      </c>
      <c r="AF59" s="29">
        <v>6094</v>
      </c>
      <c r="AG59" s="29">
        <f>AF59-AE59</f>
        <v>31.158574432514797</v>
      </c>
      <c r="AH59" s="33"/>
      <c r="AI59" s="101">
        <f>AB59/AB$61</f>
        <v>0.5708597309265826</v>
      </c>
      <c r="AJ59" s="101">
        <f>AC59/AC$61</f>
        <v>0.44340042138047925</v>
      </c>
      <c r="AK59" s="101">
        <f>AD59/AD$61</f>
        <v>0.5688938585920595</v>
      </c>
      <c r="AL59" s="101">
        <f>AE59/AE$61</f>
        <v>0.5577002673786665</v>
      </c>
      <c r="AM59" s="33"/>
      <c r="AN59" s="33"/>
      <c r="AO59" s="33"/>
      <c r="AP59" s="33"/>
      <c r="AQ59" s="33"/>
      <c r="AR59" s="33"/>
      <c r="AS59" s="33"/>
      <c r="AT59" s="33"/>
      <c r="AU59" s="33"/>
      <c r="AV59" s="33"/>
    </row>
    <row r="60" s="19" customFormat="1" ht="12.75"/>
    <row r="61" spans="2:38" s="19" customFormat="1" ht="12.75">
      <c r="B61" s="33" t="s">
        <v>237</v>
      </c>
      <c r="E61" s="41">
        <f>E48+E59</f>
        <v>0.9999999999999998</v>
      </c>
      <c r="F61" s="41">
        <f>F48+F59</f>
        <v>0.9999999999999996</v>
      </c>
      <c r="G61" s="41">
        <f>G48+G59</f>
        <v>0.9999999999999998</v>
      </c>
      <c r="N61" s="29">
        <f>N48+N59</f>
        <v>8053.372613593464</v>
      </c>
      <c r="O61" s="29">
        <f>O48+O59</f>
        <v>854.4251759601939</v>
      </c>
      <c r="P61" s="29">
        <f>P48+P59</f>
        <v>1052.016652916883</v>
      </c>
      <c r="Q61" s="29">
        <f>Q48+Q59</f>
        <v>9959.814442470542</v>
      </c>
      <c r="R61" s="33">
        <v>10743.6</v>
      </c>
      <c r="S61" s="29">
        <f>R61-Q61</f>
        <v>783.785557529458</v>
      </c>
      <c r="U61" s="29">
        <f>U48+U59</f>
        <v>8299.065653198366</v>
      </c>
      <c r="V61" s="29">
        <f>V48+V59</f>
        <v>937.3387135366569</v>
      </c>
      <c r="W61" s="29">
        <f>W48+W59</f>
        <v>1087.5388797000733</v>
      </c>
      <c r="X61" s="29">
        <f>X48+X59</f>
        <v>10323.943246435096</v>
      </c>
      <c r="Y61" s="33">
        <v>10743.6</v>
      </c>
      <c r="Z61" s="29">
        <f>Y61-X61</f>
        <v>419.65675356490465</v>
      </c>
      <c r="AB61" s="29">
        <f>AB48+AB59</f>
        <v>8469.065653198368</v>
      </c>
      <c r="AC61" s="29">
        <f>AC48+AC59</f>
        <v>1102.338713536657</v>
      </c>
      <c r="AD61" s="29">
        <f>AD48+AD59</f>
        <v>1299.742340912051</v>
      </c>
      <c r="AE61" s="29">
        <f>AE48+AE59</f>
        <v>10871.146707647076</v>
      </c>
      <c r="AF61" s="33">
        <v>10743.6</v>
      </c>
      <c r="AG61" s="29">
        <f>AF61-AE61</f>
        <v>-127.54670764707589</v>
      </c>
      <c r="AI61" s="101">
        <f>AB61/AB$61</f>
        <v>1</v>
      </c>
      <c r="AJ61" s="101">
        <f>AC61/AC$61</f>
        <v>1</v>
      </c>
      <c r="AK61" s="101">
        <f>AD61/AD$61</f>
        <v>1</v>
      </c>
      <c r="AL61" s="101">
        <f>AE61/AE$61</f>
        <v>1</v>
      </c>
    </row>
    <row r="62" spans="1:30" s="19" customFormat="1" ht="12.75">
      <c r="A62" s="19" t="s">
        <v>238</v>
      </c>
      <c r="AA62"/>
      <c r="AB62" s="38">
        <v>7319.4</v>
      </c>
      <c r="AC62" s="38">
        <v>549.9</v>
      </c>
      <c r="AD62" s="38">
        <v>1615</v>
      </c>
    </row>
    <row r="63" spans="2:30" s="19" customFormat="1" ht="12.75">
      <c r="B63" s="33" t="s">
        <v>239</v>
      </c>
      <c r="N63" s="29">
        <f>J13</f>
        <v>8488.300642441893</v>
      </c>
      <c r="O63" s="29">
        <f>K13</f>
        <v>1029.5300510276015</v>
      </c>
      <c r="P63" s="29">
        <f>L13</f>
        <v>1225.7693065305073</v>
      </c>
      <c r="U63" s="29">
        <f>J13</f>
        <v>8488.300642441893</v>
      </c>
      <c r="V63" s="29">
        <f>K13</f>
        <v>1029.5300510276015</v>
      </c>
      <c r="W63" s="29">
        <f>L13</f>
        <v>1225.7693065305073</v>
      </c>
      <c r="AB63" s="29">
        <f>J13</f>
        <v>8488.300642441893</v>
      </c>
      <c r="AC63" s="29">
        <f>K13</f>
        <v>1029.5300510276015</v>
      </c>
      <c r="AD63" s="29">
        <f>L13</f>
        <v>1225.7693065305073</v>
      </c>
    </row>
    <row r="64" spans="1:30" ht="12.75">
      <c r="A64" s="19" t="s">
        <v>240</v>
      </c>
      <c r="AB64" s="38">
        <f>8155.6-836.2</f>
        <v>7319.400000000001</v>
      </c>
      <c r="AC64" s="38">
        <f>852.3-302.4</f>
        <v>549.9</v>
      </c>
      <c r="AD64" s="38">
        <f>1735.7-60.5</f>
        <v>1675.2</v>
      </c>
    </row>
  </sheetData>
  <printOptions gridLines="1"/>
  <pageMargins left="0.37" right="0.2" top="0.5" bottom="0.46" header="0.27" footer="0.24"/>
  <pageSetup horizontalDpi="600" verticalDpi="600" orientation="portrait" paperSize="9" scale="90" r:id="rId1"/>
  <headerFooter alignWithMargins="0">
    <oddHeader>&amp;L&amp;D&amp;C&amp;A</oddHeader>
    <oddFooter>&amp;LKOF/ETH, MS&amp;CSeite &amp;P</oddFooter>
  </headerFooter>
  <colBreaks count="4" manualBreakCount="4">
    <brk id="7" max="65535" man="1"/>
    <brk id="13" max="65535" man="1"/>
    <brk id="20" max="65535" man="1"/>
    <brk id="2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V64"/>
  <sheetViews>
    <sheetView workbookViewId="0" topLeftCell="A1">
      <pane xSplit="4" ySplit="4" topLeftCell="L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M11" sqref="M11"/>
    </sheetView>
  </sheetViews>
  <sheetFormatPr defaultColWidth="11.421875" defaultRowHeight="12.75" outlineLevelCol="1"/>
  <cols>
    <col min="1" max="1" width="6.28125" style="0" customWidth="1"/>
    <col min="2" max="2" width="3.57421875" style="0" customWidth="1"/>
    <col min="3" max="3" width="6.421875" style="0" customWidth="1"/>
    <col min="4" max="4" width="13.00390625" style="0" customWidth="1"/>
    <col min="5" max="5" width="13.421875" style="0" customWidth="1" outlineLevel="1"/>
    <col min="6" max="7" width="11.57421875" style="0" customWidth="1" outlineLevel="1"/>
    <col min="8" max="8" width="11.57421875" style="0" customWidth="1" outlineLevel="1" collapsed="1"/>
    <col min="9" max="19" width="11.57421875" style="0" customWidth="1" outlineLevel="1"/>
    <col min="20" max="20" width="11.8515625" style="0" customWidth="1"/>
    <col min="34" max="34" width="12.421875" style="0" customWidth="1"/>
  </cols>
  <sheetData>
    <row r="1" spans="1:28" s="19" customFormat="1" ht="15">
      <c r="A1" s="40" t="s">
        <v>197</v>
      </c>
      <c r="B1" s="16"/>
      <c r="C1" s="18"/>
      <c r="E1" s="19" t="s">
        <v>241</v>
      </c>
      <c r="F1" s="16"/>
      <c r="G1" s="18"/>
      <c r="H1" s="31"/>
      <c r="I1" s="61"/>
      <c r="J1" s="55" t="s">
        <v>242</v>
      </c>
      <c r="K1" s="31"/>
      <c r="L1" s="31"/>
      <c r="M1" s="61"/>
      <c r="N1" s="33" t="s">
        <v>243</v>
      </c>
      <c r="U1" s="33" t="s">
        <v>244</v>
      </c>
      <c r="AB1" s="33"/>
    </row>
    <row r="2" spans="1:33" s="19" customFormat="1" ht="12.75">
      <c r="A2" s="52" t="s">
        <v>204</v>
      </c>
      <c r="B2"/>
      <c r="C2"/>
      <c r="E2" s="19">
        <v>2</v>
      </c>
      <c r="F2" s="19">
        <v>3</v>
      </c>
      <c r="G2" s="19">
        <v>4</v>
      </c>
      <c r="I2"/>
      <c r="J2" s="19">
        <v>2</v>
      </c>
      <c r="K2" s="19">
        <v>3</v>
      </c>
      <c r="L2" s="19">
        <v>4</v>
      </c>
      <c r="M2" s="60" t="s">
        <v>183</v>
      </c>
      <c r="N2" s="24">
        <f aca="true" t="shared" si="0" ref="N2:P3">E2</f>
        <v>2</v>
      </c>
      <c r="O2" s="24">
        <f t="shared" si="0"/>
        <v>3</v>
      </c>
      <c r="P2" s="24">
        <f t="shared" si="0"/>
        <v>4</v>
      </c>
      <c r="Q2" s="48" t="s">
        <v>183</v>
      </c>
      <c r="R2" s="48" t="s">
        <v>183</v>
      </c>
      <c r="U2" s="43">
        <f aca="true" t="shared" si="1" ref="U2:W3">N2</f>
        <v>2</v>
      </c>
      <c r="V2" s="43">
        <f t="shared" si="1"/>
        <v>3</v>
      </c>
      <c r="W2" s="43">
        <f t="shared" si="1"/>
        <v>4</v>
      </c>
      <c r="X2" s="48" t="s">
        <v>183</v>
      </c>
      <c r="AB2" s="24"/>
      <c r="AC2" s="24"/>
      <c r="AD2" s="24"/>
      <c r="AE2" s="24"/>
      <c r="AF2" s="24"/>
      <c r="AG2" s="24"/>
    </row>
    <row r="3" spans="1:33" s="19" customFormat="1" ht="12.75">
      <c r="A3" s="52">
        <v>1995</v>
      </c>
      <c r="B3" s="16"/>
      <c r="C3" s="18"/>
      <c r="E3" s="43" t="s">
        <v>78</v>
      </c>
      <c r="F3" s="43" t="s">
        <v>79</v>
      </c>
      <c r="G3" s="43" t="s">
        <v>80</v>
      </c>
      <c r="H3" s="22" t="s">
        <v>155</v>
      </c>
      <c r="I3" s="44"/>
      <c r="J3" s="43" t="s">
        <v>78</v>
      </c>
      <c r="K3" s="43" t="s">
        <v>79</v>
      </c>
      <c r="L3" s="43" t="s">
        <v>80</v>
      </c>
      <c r="M3" s="59" t="s">
        <v>44</v>
      </c>
      <c r="N3" s="43" t="str">
        <f t="shared" si="0"/>
        <v>Elektrizität</v>
      </c>
      <c r="O3" s="43" t="str">
        <f t="shared" si="0"/>
        <v>Gas</v>
      </c>
      <c r="P3" s="43" t="str">
        <f t="shared" si="0"/>
        <v>Wasser</v>
      </c>
      <c r="Q3" s="22" t="s">
        <v>184</v>
      </c>
      <c r="R3" s="22"/>
      <c r="U3" s="43" t="str">
        <f t="shared" si="1"/>
        <v>Elektrizität</v>
      </c>
      <c r="V3" s="43" t="str">
        <f t="shared" si="1"/>
        <v>Gas</v>
      </c>
      <c r="W3" s="43" t="str">
        <f t="shared" si="1"/>
        <v>Wasser</v>
      </c>
      <c r="X3" s="22" t="s">
        <v>184</v>
      </c>
      <c r="Y3" s="22"/>
      <c r="AB3" s="43"/>
      <c r="AC3" s="43"/>
      <c r="AD3" s="43"/>
      <c r="AE3" s="26"/>
      <c r="AF3" s="26"/>
      <c r="AG3" s="24"/>
    </row>
    <row r="4" spans="1:33" s="19" customFormat="1" ht="12.75">
      <c r="A4" s="19" t="s">
        <v>206</v>
      </c>
      <c r="B4" s="16"/>
      <c r="C4" s="18"/>
      <c r="Q4" s="46" t="s">
        <v>207</v>
      </c>
      <c r="R4" s="46" t="s">
        <v>245</v>
      </c>
      <c r="S4" s="19" t="s">
        <v>208</v>
      </c>
      <c r="U4" s="43"/>
      <c r="V4" s="43"/>
      <c r="W4" s="43"/>
      <c r="X4" s="50" t="str">
        <f>Q4</f>
        <v>KOF</v>
      </c>
      <c r="Y4" s="50" t="str">
        <f>R4</f>
        <v>KOF-Hochr</v>
      </c>
      <c r="Z4" s="43" t="str">
        <f>S4</f>
        <v>Diiff zu KOF</v>
      </c>
      <c r="AB4" s="24"/>
      <c r="AC4" s="24"/>
      <c r="AD4" s="24"/>
      <c r="AE4" s="26"/>
      <c r="AF4" s="26"/>
      <c r="AG4" s="24"/>
    </row>
    <row r="5" spans="2:33" s="19" customFormat="1" ht="12.75">
      <c r="B5" s="24">
        <v>1</v>
      </c>
      <c r="C5" s="27" t="s">
        <v>102</v>
      </c>
      <c r="E5" s="25">
        <f>EnergPro90!AI5</f>
        <v>2.8661042746212334E-05</v>
      </c>
      <c r="F5" s="25">
        <f>EnergPro90!AJ5</f>
        <v>1.0292488889983271E-05</v>
      </c>
      <c r="G5" s="25">
        <f>EnergPro90!AK5</f>
        <v>0.0002219503760420766</v>
      </c>
      <c r="H5" s="22" t="s">
        <v>144</v>
      </c>
      <c r="I5" s="44"/>
      <c r="J5" s="54">
        <f>EnergNa95!AW41</f>
        <v>1863</v>
      </c>
      <c r="K5" s="54">
        <f>EnergNa95!AW42</f>
        <v>0</v>
      </c>
      <c r="L5" s="54">
        <f>EnergNa95!AW43</f>
        <v>0</v>
      </c>
      <c r="N5" s="27">
        <f>E5*J$13</f>
        <v>0.3785634178955502</v>
      </c>
      <c r="O5" s="27">
        <f>F5*K$13</f>
        <v>0.0190406669664453</v>
      </c>
      <c r="P5" s="27">
        <f>G5*L$13</f>
        <v>0.39013341433968846</v>
      </c>
      <c r="Q5" s="27">
        <f aca="true" t="shared" si="2" ref="Q5:Q46">SUM(N5:P5)</f>
        <v>0.7877374992016839</v>
      </c>
      <c r="R5" s="27">
        <v>0.3</v>
      </c>
      <c r="S5" s="27">
        <f>R5-Q5</f>
        <v>-0.4877374992016839</v>
      </c>
      <c r="U5" s="27">
        <f>N5*$R5/$Q5</f>
        <v>0.14417115534522504</v>
      </c>
      <c r="V5" s="27">
        <f>O5*$R5/$Q5</f>
        <v>0.00725140049283232</v>
      </c>
      <c r="W5" s="27">
        <f>P5*$R5/$Q5</f>
        <v>0.14857744416194266</v>
      </c>
      <c r="X5" s="27">
        <f aca="true" t="shared" si="3" ref="X5:X44">SUM(U5:W5)</f>
        <v>0.30000000000000004</v>
      </c>
      <c r="Y5" s="27">
        <f>R5</f>
        <v>0.3</v>
      </c>
      <c r="Z5" s="27">
        <f>Y5-X5</f>
        <v>0</v>
      </c>
      <c r="AB5" s="27"/>
      <c r="AC5" s="27"/>
      <c r="AD5" s="27"/>
      <c r="AE5" s="27"/>
      <c r="AF5" s="27"/>
      <c r="AG5" s="27"/>
    </row>
    <row r="6" spans="2:33" s="19" customFormat="1" ht="12.75">
      <c r="B6" s="24">
        <v>2</v>
      </c>
      <c r="C6" s="27" t="s">
        <v>78</v>
      </c>
      <c r="E6" s="25">
        <f>EnergPro90!AI6</f>
        <v>0.07788580547263706</v>
      </c>
      <c r="F6" s="25">
        <f>EnergPro90!AJ6</f>
        <v>0.017071814469459073</v>
      </c>
      <c r="G6" s="25">
        <f>EnergPro90!AK6</f>
        <v>0.020351956820486416</v>
      </c>
      <c r="H6" s="46" t="s">
        <v>210</v>
      </c>
      <c r="I6" s="47"/>
      <c r="J6" s="54"/>
      <c r="K6" s="31"/>
      <c r="L6" s="31"/>
      <c r="N6" s="49">
        <f>EnergNa95!E41</f>
        <v>1613.72692</v>
      </c>
      <c r="O6" s="49">
        <f>EnergNa95!F41</f>
        <v>26.824776635056402</v>
      </c>
      <c r="P6" s="49">
        <f>EnergNa95!G41</f>
        <v>33.356350299999995</v>
      </c>
      <c r="Q6" s="27">
        <f t="shared" si="2"/>
        <v>1673.9080469350565</v>
      </c>
      <c r="R6" s="19">
        <v>2029.3</v>
      </c>
      <c r="S6" s="27">
        <f>R6-SUM(Q6:Q8)</f>
        <v>-0.045288798583214884</v>
      </c>
      <c r="U6" s="27">
        <f aca="true" t="shared" si="4" ref="U6:W8">N6</f>
        <v>1613.72692</v>
      </c>
      <c r="V6" s="27">
        <f t="shared" si="4"/>
        <v>26.824776635056402</v>
      </c>
      <c r="W6" s="27">
        <f t="shared" si="4"/>
        <v>33.356350299999995</v>
      </c>
      <c r="X6" s="27">
        <f t="shared" si="3"/>
        <v>1673.9080469350565</v>
      </c>
      <c r="Y6" s="27">
        <f>R6</f>
        <v>2029.3</v>
      </c>
      <c r="Z6" s="27">
        <f>Y6-SUM(X6:X8)</f>
        <v>-0.045288798583214884</v>
      </c>
      <c r="AB6" s="27"/>
      <c r="AC6" s="27"/>
      <c r="AD6" s="27"/>
      <c r="AE6" s="27"/>
      <c r="AF6" s="27"/>
      <c r="AG6" s="27"/>
    </row>
    <row r="7" spans="2:32" s="19" customFormat="1" ht="12.75">
      <c r="B7" s="24">
        <v>3</v>
      </c>
      <c r="C7" s="27" t="s">
        <v>79</v>
      </c>
      <c r="E7" s="25">
        <f>EnergPro90!AI7</f>
        <v>0.00016448095422119316</v>
      </c>
      <c r="F7" s="25">
        <f>EnergPro90!AJ7</f>
        <v>0.2589948048581404</v>
      </c>
      <c r="G7" s="25">
        <f>EnergPro90!AK7</f>
        <v>0.0007850040487901902</v>
      </c>
      <c r="H7" s="22" t="s">
        <v>213</v>
      </c>
      <c r="I7" s="44"/>
      <c r="J7" s="54">
        <f>EnergNa95!AX41</f>
        <v>11192.73172582743</v>
      </c>
      <c r="K7" s="54">
        <f>EnergNa95!AX42</f>
        <v>1828.5898736271886</v>
      </c>
      <c r="L7" s="54">
        <f>EnergNa95!AX43</f>
        <v>1737.4480327905048</v>
      </c>
      <c r="N7" s="49">
        <f>EnergNa95!E42</f>
        <v>2.91593904</v>
      </c>
      <c r="O7" s="49">
        <f>EnergNa95!F42</f>
        <v>288.18644040862654</v>
      </c>
      <c r="P7" s="49">
        <f>EnergNa95!G42</f>
        <v>1.3348624149</v>
      </c>
      <c r="Q7" s="27">
        <f t="shared" si="2"/>
        <v>292.43724186352654</v>
      </c>
      <c r="U7" s="27">
        <f t="shared" si="4"/>
        <v>2.91593904</v>
      </c>
      <c r="V7" s="27">
        <f t="shared" si="4"/>
        <v>288.18644040862654</v>
      </c>
      <c r="W7" s="27">
        <f t="shared" si="4"/>
        <v>1.3348624149</v>
      </c>
      <c r="X7" s="27">
        <f t="shared" si="3"/>
        <v>292.43724186352654</v>
      </c>
      <c r="Y7" s="27"/>
      <c r="Z7" s="27"/>
      <c r="AB7" s="27"/>
      <c r="AC7" s="27"/>
      <c r="AD7" s="27"/>
      <c r="AE7" s="27"/>
      <c r="AF7" s="27"/>
    </row>
    <row r="8" spans="2:32" s="19" customFormat="1" ht="12.75">
      <c r="B8" s="24">
        <v>4</v>
      </c>
      <c r="C8" s="27" t="s">
        <v>80</v>
      </c>
      <c r="E8" s="25">
        <f>EnergPro90!AI8</f>
        <v>0.0005903838988556825</v>
      </c>
      <c r="F8" s="25">
        <f>EnergPro90!AJ8</f>
        <v>0.002721486565934925</v>
      </c>
      <c r="G8" s="25">
        <f>EnergPro90!AK8</f>
        <v>0.04770176214809895</v>
      </c>
      <c r="H8" s="22"/>
      <c r="I8" s="44"/>
      <c r="J8" s="31"/>
      <c r="K8" s="31"/>
      <c r="L8" s="31"/>
      <c r="M8"/>
      <c r="N8" s="49">
        <f>EnergNa95!E43</f>
        <v>5</v>
      </c>
      <c r="O8" s="49">
        <f>EnergNa95!F43</f>
        <v>3</v>
      </c>
      <c r="P8" s="49">
        <f>EnergNa95!G43</f>
        <v>55</v>
      </c>
      <c r="Q8" s="27">
        <f t="shared" si="2"/>
        <v>63</v>
      </c>
      <c r="U8" s="27">
        <f t="shared" si="4"/>
        <v>5</v>
      </c>
      <c r="V8" s="27">
        <f t="shared" si="4"/>
        <v>3</v>
      </c>
      <c r="W8" s="27">
        <f t="shared" si="4"/>
        <v>55</v>
      </c>
      <c r="X8" s="27">
        <f t="shared" si="3"/>
        <v>63</v>
      </c>
      <c r="Y8" s="27"/>
      <c r="Z8" s="27"/>
      <c r="AB8" s="27"/>
      <c r="AC8" s="27"/>
      <c r="AD8" s="27"/>
      <c r="AE8" s="27"/>
      <c r="AF8" s="27"/>
    </row>
    <row r="9" spans="2:33" s="19" customFormat="1" ht="12.75">
      <c r="B9" s="24">
        <v>5</v>
      </c>
      <c r="C9" s="27" t="s">
        <v>103</v>
      </c>
      <c r="E9" s="25">
        <f>EnergPro90!AI9</f>
        <v>0.003673127914136235</v>
      </c>
      <c r="F9" s="25">
        <f>EnergPro90!AJ9</f>
        <v>0.0072059746303617805</v>
      </c>
      <c r="G9" s="25">
        <f>EnergPro90!AK9</f>
        <v>0.0033268547205432416</v>
      </c>
      <c r="H9" s="45" t="s">
        <v>216</v>
      </c>
      <c r="I9" s="44"/>
      <c r="J9" s="56">
        <f>SUM(J5:J7)</f>
        <v>13055.73172582743</v>
      </c>
      <c r="K9" s="56">
        <f>SUM(K5:K7)</f>
        <v>1828.5898736271886</v>
      </c>
      <c r="L9" s="56">
        <f>SUM(L5:L7)</f>
        <v>1737.4480327905048</v>
      </c>
      <c r="M9" s="29">
        <f>SUM(J9:L9)</f>
        <v>16621.769632245123</v>
      </c>
      <c r="N9" s="27">
        <f aca="true" t="shared" si="5" ref="N9:P28">E9*J$13</f>
        <v>48.515745566400504</v>
      </c>
      <c r="O9" s="27">
        <f t="shared" si="5"/>
        <v>13.330746777769457</v>
      </c>
      <c r="P9" s="27">
        <f t="shared" si="5"/>
        <v>5.847780996287162</v>
      </c>
      <c r="Q9" s="27">
        <f t="shared" si="2"/>
        <v>67.69427334045712</v>
      </c>
      <c r="R9" s="27">
        <v>18.5</v>
      </c>
      <c r="S9" s="27">
        <f aca="true" t="shared" si="6" ref="S9:S44">R9-Q9</f>
        <v>-49.194273340457116</v>
      </c>
      <c r="U9" s="27">
        <f aca="true" t="shared" si="7" ref="U9:U25">N9*$R9/$Q9</f>
        <v>13.258747729876267</v>
      </c>
      <c r="V9" s="27">
        <f aca="true" t="shared" si="8" ref="V9:W24">O9*$R9/$Q9</f>
        <v>3.64312671100562</v>
      </c>
      <c r="W9" s="27">
        <f t="shared" si="8"/>
        <v>1.5981255591181145</v>
      </c>
      <c r="X9" s="27">
        <f t="shared" si="3"/>
        <v>18.5</v>
      </c>
      <c r="Y9" s="27">
        <f aca="true" t="shared" si="9" ref="Y9:Y44">R9</f>
        <v>18.5</v>
      </c>
      <c r="Z9" s="27">
        <f aca="true" t="shared" si="10" ref="Z9:Z44">Y9-X9</f>
        <v>0</v>
      </c>
      <c r="AB9" s="27"/>
      <c r="AC9" s="27"/>
      <c r="AD9" s="27"/>
      <c r="AE9" s="27"/>
      <c r="AF9" s="27"/>
      <c r="AG9" s="27"/>
    </row>
    <row r="10" spans="2:33" s="19" customFormat="1" ht="12.75">
      <c r="B10" s="24">
        <v>6</v>
      </c>
      <c r="C10" s="27" t="s">
        <v>104</v>
      </c>
      <c r="E10" s="25">
        <f>EnergPro90!AI10</f>
        <v>8.871275135732389E-05</v>
      </c>
      <c r="F10" s="25">
        <f>EnergPro90!AJ10</f>
        <v>0</v>
      </c>
      <c r="G10" s="25">
        <f>EnergPro90!AK10</f>
        <v>0</v>
      </c>
      <c r="H10" s="45" t="s">
        <v>184</v>
      </c>
      <c r="I10" s="44"/>
      <c r="J10"/>
      <c r="K10"/>
      <c r="L10"/>
      <c r="M10"/>
      <c r="N10" s="27">
        <f t="shared" si="5"/>
        <v>1.171743912533846</v>
      </c>
      <c r="O10" s="27">
        <f t="shared" si="5"/>
        <v>0</v>
      </c>
      <c r="P10" s="27">
        <f t="shared" si="5"/>
        <v>0</v>
      </c>
      <c r="Q10" s="27">
        <f t="shared" si="2"/>
        <v>1.171743912533846</v>
      </c>
      <c r="R10" s="27">
        <v>1.1</v>
      </c>
      <c r="S10" s="27">
        <f t="shared" si="6"/>
        <v>-0.07174391253384593</v>
      </c>
      <c r="U10" s="27">
        <f t="shared" si="7"/>
        <v>1.1</v>
      </c>
      <c r="V10" s="27">
        <f t="shared" si="8"/>
        <v>0</v>
      </c>
      <c r="W10" s="27">
        <f t="shared" si="8"/>
        <v>0</v>
      </c>
      <c r="X10" s="27">
        <f t="shared" si="3"/>
        <v>1.1</v>
      </c>
      <c r="Y10" s="27">
        <f t="shared" si="9"/>
        <v>1.1</v>
      </c>
      <c r="Z10" s="27">
        <f t="shared" si="10"/>
        <v>0</v>
      </c>
      <c r="AB10" s="27"/>
      <c r="AC10" s="27"/>
      <c r="AD10" s="27"/>
      <c r="AE10" s="27"/>
      <c r="AF10" s="27"/>
      <c r="AG10" s="27"/>
    </row>
    <row r="11" spans="2:33" s="19" customFormat="1" ht="12.75">
      <c r="B11" s="24">
        <v>7</v>
      </c>
      <c r="C11" s="27" t="s">
        <v>105</v>
      </c>
      <c r="E11" s="25">
        <f>EnergPro90!AI11</f>
        <v>0.00023884202288510276</v>
      </c>
      <c r="F11" s="25">
        <f>EnergPro90!AJ11</f>
        <v>0</v>
      </c>
      <c r="G11" s="25">
        <f>EnergPro90!AK11</f>
        <v>0</v>
      </c>
      <c r="H11" s="22" t="s">
        <v>246</v>
      </c>
      <c r="I11" s="44"/>
      <c r="J11" s="57"/>
      <c r="K11" s="57"/>
      <c r="L11" s="57"/>
      <c r="M11" s="57">
        <f>M13/M9</f>
        <v>1.0116853001847699</v>
      </c>
      <c r="N11" s="27">
        <f t="shared" si="5"/>
        <v>3.154695149129585</v>
      </c>
      <c r="O11" s="27">
        <f t="shared" si="5"/>
        <v>0</v>
      </c>
      <c r="P11" s="27">
        <f t="shared" si="5"/>
        <v>0</v>
      </c>
      <c r="Q11" s="27">
        <f t="shared" si="2"/>
        <v>3.154695149129585</v>
      </c>
      <c r="R11" s="27">
        <v>0.8</v>
      </c>
      <c r="S11" s="27">
        <f t="shared" si="6"/>
        <v>-2.3546951491295847</v>
      </c>
      <c r="U11" s="27">
        <f t="shared" si="7"/>
        <v>0.8</v>
      </c>
      <c r="V11" s="27">
        <f t="shared" si="8"/>
        <v>0</v>
      </c>
      <c r="W11" s="27">
        <f t="shared" si="8"/>
        <v>0</v>
      </c>
      <c r="X11" s="27">
        <f t="shared" si="3"/>
        <v>0.8</v>
      </c>
      <c r="Y11" s="27">
        <f t="shared" si="9"/>
        <v>0.8</v>
      </c>
      <c r="Z11" s="27">
        <f t="shared" si="10"/>
        <v>0</v>
      </c>
      <c r="AB11" s="27"/>
      <c r="AC11" s="27"/>
      <c r="AD11" s="27"/>
      <c r="AE11" s="27"/>
      <c r="AF11" s="27"/>
      <c r="AG11" s="27"/>
    </row>
    <row r="12" spans="2:33" s="19" customFormat="1" ht="12.75">
      <c r="B12" s="19">
        <v>8</v>
      </c>
      <c r="C12" s="19" t="s">
        <v>106</v>
      </c>
      <c r="E12" s="25">
        <f>EnergPro90!AI12</f>
        <v>0.0005049802769570745</v>
      </c>
      <c r="F12" s="25">
        <f>EnergPro90!AJ12</f>
        <v>0.0001029248888998327</v>
      </c>
      <c r="G12" s="25">
        <f>EnergPro90!AK12</f>
        <v>0.0003504479621716999</v>
      </c>
      <c r="H12"/>
      <c r="I12"/>
      <c r="J12"/>
      <c r="K12"/>
      <c r="L12"/>
      <c r="M12"/>
      <c r="N12" s="27">
        <f t="shared" si="5"/>
        <v>6.669926886731123</v>
      </c>
      <c r="O12" s="27">
        <f t="shared" si="5"/>
        <v>0.19040666966445297</v>
      </c>
      <c r="P12" s="27">
        <f t="shared" si="5"/>
        <v>0.6160001279047712</v>
      </c>
      <c r="Q12" s="27">
        <f t="shared" si="2"/>
        <v>7.476333684300347</v>
      </c>
      <c r="R12" s="27">
        <v>7.4</v>
      </c>
      <c r="S12" s="27">
        <f t="shared" si="6"/>
        <v>-0.07633368430034704</v>
      </c>
      <c r="U12" s="27">
        <f t="shared" si="7"/>
        <v>6.601826650067359</v>
      </c>
      <c r="V12" s="27">
        <f t="shared" si="8"/>
        <v>0.18846260948407767</v>
      </c>
      <c r="W12" s="27">
        <f t="shared" si="8"/>
        <v>0.6097107404485642</v>
      </c>
      <c r="X12" s="27">
        <f t="shared" si="3"/>
        <v>7.400000000000001</v>
      </c>
      <c r="Y12" s="27">
        <f t="shared" si="9"/>
        <v>7.4</v>
      </c>
      <c r="Z12" s="27">
        <f t="shared" si="10"/>
        <v>0</v>
      </c>
      <c r="AB12" s="27"/>
      <c r="AC12" s="27"/>
      <c r="AD12" s="27"/>
      <c r="AE12" s="27"/>
      <c r="AF12" s="27"/>
      <c r="AG12" s="27"/>
    </row>
    <row r="13" spans="2:33" s="19" customFormat="1" ht="12.75">
      <c r="B13" s="19">
        <v>9</v>
      </c>
      <c r="C13" s="19" t="s">
        <v>107</v>
      </c>
      <c r="E13" s="25">
        <f>EnergPro90!AI13</f>
        <v>4.9133216136364007E-05</v>
      </c>
      <c r="F13" s="25">
        <f>EnergPro90!AJ13</f>
        <v>0</v>
      </c>
      <c r="G13" s="25">
        <f>EnergPro90!AK13</f>
        <v>0.0003504479621716999</v>
      </c>
      <c r="H13" s="45" t="s">
        <v>219</v>
      </c>
      <c r="I13" s="44"/>
      <c r="J13" s="29">
        <f>(EnergNa95!AW41+EnergNa95!AX41)*M11</f>
        <v>13208.291870175548</v>
      </c>
      <c r="K13" s="29">
        <f>(EnergNa95!AW42+EnergNa95!AX42)*M11</f>
        <v>1849.9574952153528</v>
      </c>
      <c r="L13" s="29">
        <f>(EnergNa95!AW43+EnergNa95!AX43)*M11</f>
        <v>1757.7506346090997</v>
      </c>
      <c r="M13" s="29">
        <v>16816</v>
      </c>
      <c r="N13" s="27">
        <f t="shared" si="5"/>
        <v>0.6489658592495148</v>
      </c>
      <c r="O13" s="27">
        <f t="shared" si="5"/>
        <v>0</v>
      </c>
      <c r="P13" s="27">
        <f t="shared" si="5"/>
        <v>0.6160001279047712</v>
      </c>
      <c r="Q13" s="27">
        <f t="shared" si="2"/>
        <v>1.264965987154286</v>
      </c>
      <c r="R13" s="27">
        <v>0.6</v>
      </c>
      <c r="S13" s="27">
        <f t="shared" si="6"/>
        <v>-0.664965987154286</v>
      </c>
      <c r="U13" s="27">
        <f t="shared" si="7"/>
        <v>0.30781817021473545</v>
      </c>
      <c r="V13" s="27">
        <f t="shared" si="8"/>
        <v>0</v>
      </c>
      <c r="W13" s="27">
        <f t="shared" si="8"/>
        <v>0.2921818297852645</v>
      </c>
      <c r="X13" s="27">
        <f t="shared" si="3"/>
        <v>0.6</v>
      </c>
      <c r="Y13" s="27">
        <f t="shared" si="9"/>
        <v>0.6</v>
      </c>
      <c r="Z13" s="27">
        <f t="shared" si="10"/>
        <v>0</v>
      </c>
      <c r="AB13" s="27"/>
      <c r="AC13" s="27"/>
      <c r="AD13" s="27"/>
      <c r="AE13" s="27"/>
      <c r="AF13" s="27"/>
      <c r="AG13" s="27"/>
    </row>
    <row r="14" spans="2:33" s="19" customFormat="1" ht="12.75">
      <c r="B14" s="19">
        <v>10</v>
      </c>
      <c r="C14" s="19" t="s">
        <v>108</v>
      </c>
      <c r="E14" s="25">
        <f>EnergPro90!AI14</f>
        <v>0.0009253422372348555</v>
      </c>
      <c r="F14" s="25">
        <f>EnergPro90!AJ14</f>
        <v>0</v>
      </c>
      <c r="G14" s="25">
        <f>EnergPro90!AK14</f>
        <v>0</v>
      </c>
      <c r="N14" s="27">
        <f t="shared" si="5"/>
        <v>12.222190349199195</v>
      </c>
      <c r="O14" s="27">
        <f t="shared" si="5"/>
        <v>0</v>
      </c>
      <c r="P14" s="27">
        <f t="shared" si="5"/>
        <v>0</v>
      </c>
      <c r="Q14" s="27">
        <f t="shared" si="2"/>
        <v>12.222190349199195</v>
      </c>
      <c r="R14" s="27">
        <v>3.4</v>
      </c>
      <c r="S14" s="27">
        <f t="shared" si="6"/>
        <v>-8.822190349199195</v>
      </c>
      <c r="U14" s="27">
        <f t="shared" si="7"/>
        <v>3.3999999999999995</v>
      </c>
      <c r="V14" s="27">
        <f t="shared" si="8"/>
        <v>0</v>
      </c>
      <c r="W14" s="27">
        <f t="shared" si="8"/>
        <v>0</v>
      </c>
      <c r="X14" s="27">
        <f t="shared" si="3"/>
        <v>3.3999999999999995</v>
      </c>
      <c r="Y14" s="27">
        <f t="shared" si="9"/>
        <v>3.4</v>
      </c>
      <c r="Z14" s="27">
        <f t="shared" si="10"/>
        <v>0</v>
      </c>
      <c r="AB14" s="27"/>
      <c r="AC14" s="27"/>
      <c r="AD14" s="27"/>
      <c r="AE14" s="27"/>
      <c r="AF14" s="27"/>
      <c r="AG14" s="27"/>
    </row>
    <row r="15" spans="2:33" s="19" customFormat="1" ht="12.75">
      <c r="B15" s="19">
        <v>11</v>
      </c>
      <c r="C15" s="19" t="s">
        <v>109</v>
      </c>
      <c r="E15" s="25">
        <f>EnergPro90!AI15</f>
        <v>0.0004121730909217203</v>
      </c>
      <c r="F15" s="25">
        <f>EnergPro90!AJ15</f>
        <v>0</v>
      </c>
      <c r="G15" s="25">
        <f>EnergPro90!AK15</f>
        <v>0.001635423823467933</v>
      </c>
      <c r="H15" s="45" t="s">
        <v>220</v>
      </c>
      <c r="I15" s="45"/>
      <c r="J15" s="27">
        <f>J13-J5</f>
        <v>11345.291870175548</v>
      </c>
      <c r="K15" s="27">
        <f>K13-K5</f>
        <v>1849.9574952153528</v>
      </c>
      <c r="L15" s="27">
        <f>L13-L5</f>
        <v>1757.7506346090997</v>
      </c>
      <c r="M15" s="58">
        <f>SUM(J15:L15)</f>
        <v>14953</v>
      </c>
      <c r="N15" s="27">
        <f t="shared" si="5"/>
        <v>5.444102485926485</v>
      </c>
      <c r="O15" s="27">
        <f t="shared" si="5"/>
        <v>0</v>
      </c>
      <c r="P15" s="27">
        <f t="shared" si="5"/>
        <v>2.8746672635555997</v>
      </c>
      <c r="Q15" s="27">
        <f t="shared" si="2"/>
        <v>8.318769749482085</v>
      </c>
      <c r="R15" s="27">
        <v>4.4</v>
      </c>
      <c r="S15" s="27">
        <f t="shared" si="6"/>
        <v>-3.9187697494820846</v>
      </c>
      <c r="U15" s="27">
        <f t="shared" si="7"/>
        <v>2.879518445569176</v>
      </c>
      <c r="V15" s="27">
        <f t="shared" si="8"/>
        <v>0</v>
      </c>
      <c r="W15" s="27">
        <f t="shared" si="8"/>
        <v>1.5204815544308243</v>
      </c>
      <c r="X15" s="27">
        <f t="shared" si="3"/>
        <v>4.4</v>
      </c>
      <c r="Y15" s="27">
        <f t="shared" si="9"/>
        <v>4.4</v>
      </c>
      <c r="Z15" s="27">
        <f t="shared" si="10"/>
        <v>0</v>
      </c>
      <c r="AB15" s="27"/>
      <c r="AC15" s="27"/>
      <c r="AD15" s="27"/>
      <c r="AE15" s="27"/>
      <c r="AF15" s="27"/>
      <c r="AG15" s="27"/>
    </row>
    <row r="16" spans="2:33" s="19" customFormat="1" ht="12.75">
      <c r="B16" s="19">
        <v>12</v>
      </c>
      <c r="C16" s="19" t="s">
        <v>110</v>
      </c>
      <c r="E16" s="25">
        <f>EnergPro90!AI16</f>
        <v>0.00031390665864899225</v>
      </c>
      <c r="F16" s="25">
        <f>EnergPro90!AJ16</f>
        <v>0</v>
      </c>
      <c r="G16" s="25">
        <f>EnergPro90!AK16</f>
        <v>0.004906271470403799</v>
      </c>
      <c r="H16" s="45" t="s">
        <v>221</v>
      </c>
      <c r="I16" s="22"/>
      <c r="N16" s="27">
        <f t="shared" si="5"/>
        <v>4.1461707674274555</v>
      </c>
      <c r="O16" s="27">
        <f t="shared" si="5"/>
        <v>0</v>
      </c>
      <c r="P16" s="27">
        <f t="shared" si="5"/>
        <v>8.624001790666798</v>
      </c>
      <c r="Q16" s="27">
        <f t="shared" si="2"/>
        <v>12.770172558094252</v>
      </c>
      <c r="R16" s="27">
        <v>8.5</v>
      </c>
      <c r="S16" s="27">
        <f t="shared" si="6"/>
        <v>-4.270172558094252</v>
      </c>
      <c r="U16" s="27">
        <f t="shared" si="7"/>
        <v>2.759747478963804</v>
      </c>
      <c r="V16" s="27">
        <f t="shared" si="8"/>
        <v>0</v>
      </c>
      <c r="W16" s="27">
        <f t="shared" si="8"/>
        <v>5.740252521036196</v>
      </c>
      <c r="X16" s="27">
        <f t="shared" si="3"/>
        <v>8.5</v>
      </c>
      <c r="Y16" s="27">
        <f t="shared" si="9"/>
        <v>8.5</v>
      </c>
      <c r="Z16" s="27">
        <f t="shared" si="10"/>
        <v>0</v>
      </c>
      <c r="AB16" s="27"/>
      <c r="AC16" s="27"/>
      <c r="AD16" s="27"/>
      <c r="AE16" s="27"/>
      <c r="AF16" s="27"/>
      <c r="AG16" s="27"/>
    </row>
    <row r="17" spans="2:33" s="19" customFormat="1" ht="12.75">
      <c r="B17" s="19">
        <v>13</v>
      </c>
      <c r="C17" s="19" t="s">
        <v>111</v>
      </c>
      <c r="E17" s="25">
        <f>EnergPro90!AI17</f>
        <v>0.0006551095484848532</v>
      </c>
      <c r="F17" s="25">
        <f>EnergPro90!AJ17</f>
        <v>0</v>
      </c>
      <c r="G17" s="25">
        <f>EnergPro90!AK17</f>
        <v>0.0007008959243433998</v>
      </c>
      <c r="N17" s="27">
        <f t="shared" si="5"/>
        <v>8.652878123326861</v>
      </c>
      <c r="O17" s="27">
        <f t="shared" si="5"/>
        <v>0</v>
      </c>
      <c r="P17" s="27">
        <f t="shared" si="5"/>
        <v>1.2320002558095424</v>
      </c>
      <c r="Q17" s="27">
        <f t="shared" si="2"/>
        <v>9.884878379136403</v>
      </c>
      <c r="R17" s="27">
        <v>6.1</v>
      </c>
      <c r="S17" s="27">
        <f t="shared" si="6"/>
        <v>-3.784878379136403</v>
      </c>
      <c r="U17" s="27">
        <f t="shared" si="7"/>
        <v>5.339727463283693</v>
      </c>
      <c r="V17" s="27">
        <f t="shared" si="8"/>
        <v>0</v>
      </c>
      <c r="W17" s="27">
        <f t="shared" si="8"/>
        <v>0.7602725367163068</v>
      </c>
      <c r="X17" s="27">
        <f t="shared" si="3"/>
        <v>6.1</v>
      </c>
      <c r="Y17" s="27">
        <f t="shared" si="9"/>
        <v>6.1</v>
      </c>
      <c r="Z17" s="27">
        <f t="shared" si="10"/>
        <v>0</v>
      </c>
      <c r="AB17" s="27"/>
      <c r="AC17" s="27"/>
      <c r="AD17" s="27"/>
      <c r="AE17" s="27"/>
      <c r="AF17" s="27"/>
      <c r="AG17" s="27"/>
    </row>
    <row r="18" spans="2:33" s="19" customFormat="1" ht="12.75">
      <c r="B18" s="19">
        <v>14</v>
      </c>
      <c r="C18" s="19" t="s">
        <v>112</v>
      </c>
      <c r="E18" s="25">
        <f>EnergPro90!AI18</f>
        <v>0.0012733691848674338</v>
      </c>
      <c r="F18" s="25">
        <f>EnergPro90!AJ18</f>
        <v>0.0001029248888998327</v>
      </c>
      <c r="G18" s="25">
        <f>EnergPro90!AK18</f>
        <v>0.0003504479621716999</v>
      </c>
      <c r="N18" s="27">
        <f t="shared" si="5"/>
        <v>16.81903185221659</v>
      </c>
      <c r="O18" s="27">
        <f t="shared" si="5"/>
        <v>0.19040666966445297</v>
      </c>
      <c r="P18" s="27">
        <f t="shared" si="5"/>
        <v>0.6160001279047712</v>
      </c>
      <c r="Q18" s="27">
        <f t="shared" si="2"/>
        <v>17.625438649785814</v>
      </c>
      <c r="R18" s="27">
        <v>12.7</v>
      </c>
      <c r="S18" s="27">
        <f t="shared" si="6"/>
        <v>-4.925438649785814</v>
      </c>
      <c r="U18" s="27">
        <f t="shared" si="7"/>
        <v>12.11894403125941</v>
      </c>
      <c r="V18" s="27">
        <f t="shared" si="8"/>
        <v>0.13719741975147598</v>
      </c>
      <c r="W18" s="27">
        <f t="shared" si="8"/>
        <v>0.44385854898911475</v>
      </c>
      <c r="X18" s="27">
        <f t="shared" si="3"/>
        <v>12.700000000000001</v>
      </c>
      <c r="Y18" s="27">
        <f t="shared" si="9"/>
        <v>12.7</v>
      </c>
      <c r="Z18" s="27">
        <f t="shared" si="10"/>
        <v>0</v>
      </c>
      <c r="AB18" s="27"/>
      <c r="AC18" s="27"/>
      <c r="AD18" s="27"/>
      <c r="AE18" s="27"/>
      <c r="AF18" s="27"/>
      <c r="AG18" s="27"/>
    </row>
    <row r="19" spans="2:33" s="19" customFormat="1" ht="12.75">
      <c r="B19" s="19">
        <v>15</v>
      </c>
      <c r="C19" s="19" t="s">
        <v>113</v>
      </c>
      <c r="E19" s="25">
        <f>EnergPro90!AI19</f>
        <v>0</v>
      </c>
      <c r="F19" s="25">
        <f>EnergPro90!AJ19</f>
        <v>0</v>
      </c>
      <c r="G19" s="25">
        <f>EnergPro90!AK19</f>
        <v>0.0007008959243433998</v>
      </c>
      <c r="J19" s="43"/>
      <c r="K19" s="43"/>
      <c r="L19" s="43"/>
      <c r="N19" s="27">
        <f t="shared" si="5"/>
        <v>0</v>
      </c>
      <c r="O19" s="27">
        <f t="shared" si="5"/>
        <v>0</v>
      </c>
      <c r="P19" s="27">
        <f t="shared" si="5"/>
        <v>1.2320002558095424</v>
      </c>
      <c r="Q19" s="27">
        <f t="shared" si="2"/>
        <v>1.2320002558095424</v>
      </c>
      <c r="R19" s="27">
        <v>0.1</v>
      </c>
      <c r="S19" s="27">
        <f t="shared" si="6"/>
        <v>-1.1320002558095423</v>
      </c>
      <c r="U19" s="27">
        <f t="shared" si="7"/>
        <v>0</v>
      </c>
      <c r="V19" s="27">
        <f t="shared" si="8"/>
        <v>0</v>
      </c>
      <c r="W19" s="27">
        <f t="shared" si="8"/>
        <v>0.1</v>
      </c>
      <c r="X19" s="27">
        <f t="shared" si="3"/>
        <v>0.1</v>
      </c>
      <c r="Y19" s="27">
        <f t="shared" si="9"/>
        <v>0.1</v>
      </c>
      <c r="Z19" s="27">
        <f t="shared" si="10"/>
        <v>0</v>
      </c>
      <c r="AB19" s="27"/>
      <c r="AC19" s="27"/>
      <c r="AD19" s="27"/>
      <c r="AE19" s="27"/>
      <c r="AF19" s="27"/>
      <c r="AG19" s="27"/>
    </row>
    <row r="20" spans="2:33" s="19" customFormat="1" ht="12.75">
      <c r="B20" s="19">
        <v>16</v>
      </c>
      <c r="C20" s="19" t="s">
        <v>114</v>
      </c>
      <c r="E20" s="25">
        <f>EnergPro90!AI20</f>
        <v>0.045038781458333677</v>
      </c>
      <c r="F20" s="25">
        <f>EnergPro90!AJ20</f>
        <v>0.0002058497777996654</v>
      </c>
      <c r="G20" s="25">
        <f>EnergPro90!AK20</f>
        <v>0.09945176648520963</v>
      </c>
      <c r="N20" s="27">
        <f t="shared" si="5"/>
        <v>594.8853709787219</v>
      </c>
      <c r="O20" s="27">
        <f t="shared" si="5"/>
        <v>0.38081333932890593</v>
      </c>
      <c r="P20" s="27">
        <f t="shared" si="5"/>
        <v>174.81140565237322</v>
      </c>
      <c r="Q20" s="27">
        <f t="shared" si="2"/>
        <v>770.077589970424</v>
      </c>
      <c r="R20" s="27">
        <v>347.9</v>
      </c>
      <c r="S20" s="27">
        <f t="shared" si="6"/>
        <v>-422.17758997042404</v>
      </c>
      <c r="U20" s="27">
        <f t="shared" si="7"/>
        <v>268.7529454940326</v>
      </c>
      <c r="V20" s="27">
        <f t="shared" si="8"/>
        <v>0.17204105466517297</v>
      </c>
      <c r="W20" s="27">
        <f t="shared" si="8"/>
        <v>78.97501345130223</v>
      </c>
      <c r="X20" s="27">
        <f t="shared" si="3"/>
        <v>347.9</v>
      </c>
      <c r="Y20" s="27">
        <f t="shared" si="9"/>
        <v>347.9</v>
      </c>
      <c r="Z20" s="27">
        <f t="shared" si="10"/>
        <v>0</v>
      </c>
      <c r="AB20" s="27"/>
      <c r="AC20" s="27"/>
      <c r="AD20" s="27"/>
      <c r="AE20" s="27"/>
      <c r="AF20" s="27"/>
      <c r="AG20" s="27"/>
    </row>
    <row r="21" spans="2:33" s="19" customFormat="1" ht="12.75">
      <c r="B21" s="19">
        <v>17</v>
      </c>
      <c r="C21" s="19" t="s">
        <v>115</v>
      </c>
      <c r="E21" s="25">
        <f>EnergPro90!AI21</f>
        <v>0.000955368091540411</v>
      </c>
      <c r="F21" s="25">
        <f>EnergPro90!AJ21</f>
        <v>0</v>
      </c>
      <c r="G21" s="25">
        <f>EnergPro90!AK21</f>
        <v>0.0017522398108584998</v>
      </c>
      <c r="I21"/>
      <c r="J21" s="25"/>
      <c r="K21" s="25"/>
      <c r="L21" s="25"/>
      <c r="N21" s="27">
        <f t="shared" si="5"/>
        <v>12.61878059651834</v>
      </c>
      <c r="O21" s="27">
        <f t="shared" si="5"/>
        <v>0</v>
      </c>
      <c r="P21" s="27">
        <f t="shared" si="5"/>
        <v>3.080000639523857</v>
      </c>
      <c r="Q21" s="27">
        <f t="shared" si="2"/>
        <v>15.698781236042198</v>
      </c>
      <c r="R21" s="27">
        <v>14.4</v>
      </c>
      <c r="S21" s="27">
        <f t="shared" si="6"/>
        <v>-1.2987812360421973</v>
      </c>
      <c r="U21" s="27">
        <f t="shared" si="7"/>
        <v>11.574811946081677</v>
      </c>
      <c r="V21" s="27">
        <f t="shared" si="8"/>
        <v>0</v>
      </c>
      <c r="W21" s="27">
        <f t="shared" si="8"/>
        <v>2.8251880539183234</v>
      </c>
      <c r="X21" s="27">
        <f t="shared" si="3"/>
        <v>14.4</v>
      </c>
      <c r="Y21" s="27">
        <f t="shared" si="9"/>
        <v>14.4</v>
      </c>
      <c r="Z21" s="27">
        <f t="shared" si="10"/>
        <v>0</v>
      </c>
      <c r="AB21" s="27"/>
      <c r="AC21" s="27"/>
      <c r="AD21" s="27"/>
      <c r="AE21" s="27"/>
      <c r="AF21" s="27"/>
      <c r="AG21" s="27"/>
    </row>
    <row r="22" spans="2:34" s="19" customFormat="1" ht="12.75">
      <c r="B22" s="19">
        <v>18</v>
      </c>
      <c r="C22" s="19" t="s">
        <v>116</v>
      </c>
      <c r="E22" s="25">
        <f>EnergPro90!AI22</f>
        <v>0.010053277726719467</v>
      </c>
      <c r="F22" s="25">
        <f>EnergPro90!AJ22</f>
        <v>0.036286487545799</v>
      </c>
      <c r="G22" s="25">
        <f>EnergPro90!AK22</f>
        <v>0.019818661448283054</v>
      </c>
      <c r="I22"/>
      <c r="J22" s="25"/>
      <c r="K22" s="25"/>
      <c r="L22" s="25"/>
      <c r="N22" s="27">
        <f t="shared" si="5"/>
        <v>132.78662646644565</v>
      </c>
      <c r="O22" s="27">
        <f t="shared" si="5"/>
        <v>67.12845961038941</v>
      </c>
      <c r="P22" s="27">
        <f t="shared" si="5"/>
        <v>34.83626473782244</v>
      </c>
      <c r="Q22" s="27">
        <f t="shared" si="2"/>
        <v>234.75135081465748</v>
      </c>
      <c r="R22" s="27">
        <v>20</v>
      </c>
      <c r="S22" s="27">
        <f t="shared" si="6"/>
        <v>-214.75135081465748</v>
      </c>
      <c r="U22" s="27">
        <f t="shared" si="7"/>
        <v>11.312959521266762</v>
      </c>
      <c r="V22" s="27">
        <f t="shared" si="8"/>
        <v>5.71911167943729</v>
      </c>
      <c r="W22" s="27">
        <f t="shared" si="8"/>
        <v>2.96792879929595</v>
      </c>
      <c r="X22" s="27">
        <f t="shared" si="3"/>
        <v>20.000000000000004</v>
      </c>
      <c r="Y22" s="27">
        <f t="shared" si="9"/>
        <v>20</v>
      </c>
      <c r="Z22" s="27">
        <f t="shared" si="10"/>
        <v>0</v>
      </c>
      <c r="AB22" s="27"/>
      <c r="AC22" s="27"/>
      <c r="AD22" s="27"/>
      <c r="AE22" s="27"/>
      <c r="AF22" s="27"/>
      <c r="AG22" s="27"/>
      <c r="AH22" s="21"/>
    </row>
    <row r="23" spans="2:33" s="19" customFormat="1" ht="12.75">
      <c r="B23" s="19">
        <v>19</v>
      </c>
      <c r="C23" s="19" t="s">
        <v>117</v>
      </c>
      <c r="E23" s="25">
        <f>EnergPro90!AI23</f>
        <v>0.031738912645126204</v>
      </c>
      <c r="F23" s="25">
        <f>EnergPro90!AJ23</f>
        <v>0.016534995512934334</v>
      </c>
      <c r="G23" s="25">
        <f>EnergPro90!AK23</f>
        <v>0.017529983727800395</v>
      </c>
      <c r="H23" s="33"/>
      <c r="I23" s="33"/>
      <c r="J23" s="41"/>
      <c r="K23" s="41"/>
      <c r="L23" s="41"/>
      <c r="N23" s="27">
        <f t="shared" si="5"/>
        <v>419.2168218588323</v>
      </c>
      <c r="O23" s="27">
        <f t="shared" si="5"/>
        <v>30.589038882505097</v>
      </c>
      <c r="P23" s="27">
        <f t="shared" si="5"/>
        <v>30.81334002222834</v>
      </c>
      <c r="Q23" s="27">
        <f t="shared" si="2"/>
        <v>480.61920076356574</v>
      </c>
      <c r="R23" s="27">
        <v>455.3</v>
      </c>
      <c r="S23" s="27">
        <f t="shared" si="6"/>
        <v>-25.319200763565732</v>
      </c>
      <c r="U23" s="27">
        <f t="shared" si="7"/>
        <v>397.13232157410636</v>
      </c>
      <c r="V23" s="27">
        <f t="shared" si="8"/>
        <v>28.977596777403548</v>
      </c>
      <c r="W23" s="27">
        <f t="shared" si="8"/>
        <v>29.19008164849015</v>
      </c>
      <c r="X23" s="27">
        <f t="shared" si="3"/>
        <v>455.30000000000007</v>
      </c>
      <c r="Y23" s="27">
        <f t="shared" si="9"/>
        <v>455.3</v>
      </c>
      <c r="Z23" s="27">
        <f t="shared" si="10"/>
        <v>0</v>
      </c>
      <c r="AB23" s="27"/>
      <c r="AC23" s="27"/>
      <c r="AD23" s="27"/>
      <c r="AE23" s="27"/>
      <c r="AF23" s="27"/>
      <c r="AG23" s="27"/>
    </row>
    <row r="24" spans="2:34" s="19" customFormat="1" ht="12.75">
      <c r="B24" s="19">
        <v>20</v>
      </c>
      <c r="C24" s="19" t="s">
        <v>118</v>
      </c>
      <c r="E24" s="25">
        <f>EnergPro90!AI24</f>
        <v>0.05238550482619907</v>
      </c>
      <c r="F24" s="25">
        <f>EnergPro90!AJ24</f>
        <v>0.0730265561859205</v>
      </c>
      <c r="G24" s="25">
        <f>EnergPro90!AK24</f>
        <v>0.0781850866538629</v>
      </c>
      <c r="H24"/>
      <c r="I24"/>
      <c r="J24"/>
      <c r="K24"/>
      <c r="L24"/>
      <c r="N24" s="27">
        <f t="shared" si="5"/>
        <v>691.9230375109271</v>
      </c>
      <c r="O24" s="27">
        <f t="shared" si="5"/>
        <v>135.0960249659087</v>
      </c>
      <c r="P24" s="27">
        <f t="shared" si="5"/>
        <v>137.42988568279495</v>
      </c>
      <c r="Q24" s="27">
        <f t="shared" si="2"/>
        <v>964.4489481596307</v>
      </c>
      <c r="R24" s="27">
        <v>273.5</v>
      </c>
      <c r="S24" s="27">
        <f t="shared" si="6"/>
        <v>-690.9489481596307</v>
      </c>
      <c r="U24" s="27">
        <f t="shared" si="7"/>
        <v>196.21665938912545</v>
      </c>
      <c r="V24" s="27">
        <f t="shared" si="8"/>
        <v>38.31075029806601</v>
      </c>
      <c r="W24" s="27">
        <f t="shared" si="8"/>
        <v>38.97259031280855</v>
      </c>
      <c r="X24" s="27">
        <f t="shared" si="3"/>
        <v>273.5</v>
      </c>
      <c r="Y24" s="27">
        <f t="shared" si="9"/>
        <v>273.5</v>
      </c>
      <c r="Z24" s="27">
        <f t="shared" si="10"/>
        <v>0</v>
      </c>
      <c r="AB24" s="27"/>
      <c r="AC24" s="27"/>
      <c r="AD24" s="27"/>
      <c r="AE24" s="27"/>
      <c r="AF24" s="27"/>
      <c r="AG24" s="27"/>
      <c r="AH24" s="21"/>
    </row>
    <row r="25" spans="2:34" s="19" customFormat="1" ht="12.75">
      <c r="B25" s="19">
        <v>21</v>
      </c>
      <c r="C25" s="19" t="s">
        <v>119</v>
      </c>
      <c r="E25" s="25">
        <f>EnergPro90!AI25</f>
        <v>0.03398518869653675</v>
      </c>
      <c r="F25" s="25">
        <f>EnergPro90!AJ25</f>
        <v>0.06465630087265052</v>
      </c>
      <c r="G25" s="25">
        <f>EnergPro90!AK25</f>
        <v>0.021688168877555095</v>
      </c>
      <c r="H25"/>
      <c r="I25"/>
      <c r="J25"/>
      <c r="K25"/>
      <c r="L25"/>
      <c r="N25" s="27">
        <f t="shared" si="5"/>
        <v>448.8862915668483</v>
      </c>
      <c r="O25" s="27">
        <f t="shared" si="5"/>
        <v>119.61140841225878</v>
      </c>
      <c r="P25" s="27">
        <f t="shared" si="5"/>
        <v>38.122392608031795</v>
      </c>
      <c r="Q25" s="27">
        <f t="shared" si="2"/>
        <v>606.6200925871389</v>
      </c>
      <c r="R25" s="27">
        <v>299.1</v>
      </c>
      <c r="S25" s="27">
        <f t="shared" si="6"/>
        <v>-307.52009258713883</v>
      </c>
      <c r="U25" s="27">
        <f t="shared" si="7"/>
        <v>221.32779881233176</v>
      </c>
      <c r="V25" s="27">
        <f>O25*$R25/$Q25</f>
        <v>58.97558075191441</v>
      </c>
      <c r="W25" s="27">
        <f>P25*$R25/$Q25</f>
        <v>18.796620435753855</v>
      </c>
      <c r="X25" s="27">
        <f t="shared" si="3"/>
        <v>299.1</v>
      </c>
      <c r="Y25" s="27">
        <f t="shared" si="9"/>
        <v>299.1</v>
      </c>
      <c r="Z25" s="27">
        <f t="shared" si="10"/>
        <v>0</v>
      </c>
      <c r="AB25" s="27"/>
      <c r="AC25" s="27"/>
      <c r="AD25" s="27"/>
      <c r="AE25" s="27"/>
      <c r="AF25" s="27"/>
      <c r="AG25" s="27"/>
      <c r="AH25" s="21"/>
    </row>
    <row r="26" spans="2:33" s="19" customFormat="1" ht="12.75">
      <c r="B26" s="19">
        <v>22</v>
      </c>
      <c r="C26" s="19" t="s">
        <v>120</v>
      </c>
      <c r="E26" s="25">
        <f>EnergPro90!AI26</f>
        <v>0.00911694121641421</v>
      </c>
      <c r="F26" s="25">
        <f>EnergPro90!AJ26</f>
        <v>0.00113217377789816</v>
      </c>
      <c r="G26" s="25">
        <f>EnergPro90!AK26</f>
        <v>0.02686767709983033</v>
      </c>
      <c r="J26" s="25"/>
      <c r="K26" s="25"/>
      <c r="L26" s="25"/>
      <c r="N26" s="27">
        <f t="shared" si="5"/>
        <v>120.41922054963217</v>
      </c>
      <c r="O26" s="27">
        <f t="shared" si="5"/>
        <v>2.094473366308983</v>
      </c>
      <c r="P26" s="27">
        <f t="shared" si="5"/>
        <v>47.22667647269914</v>
      </c>
      <c r="Q26" s="27">
        <f t="shared" si="2"/>
        <v>169.74037038864032</v>
      </c>
      <c r="R26" s="27">
        <v>331.2</v>
      </c>
      <c r="S26" s="27">
        <f t="shared" si="6"/>
        <v>161.45962961135967</v>
      </c>
      <c r="U26" s="27">
        <f aca="true" t="shared" si="11" ref="U26:W41">N26*$R26/$Q26</f>
        <v>234.9638200666215</v>
      </c>
      <c r="V26" s="27">
        <f t="shared" si="11"/>
        <v>4.086768382402208</v>
      </c>
      <c r="W26" s="27">
        <f t="shared" si="11"/>
        <v>92.14941155097623</v>
      </c>
      <c r="X26" s="27">
        <f t="shared" si="3"/>
        <v>331.19999999999993</v>
      </c>
      <c r="Y26" s="27">
        <f t="shared" si="9"/>
        <v>331.2</v>
      </c>
      <c r="Z26" s="27">
        <f t="shared" si="10"/>
        <v>0</v>
      </c>
      <c r="AB26" s="27"/>
      <c r="AC26" s="27"/>
      <c r="AD26" s="27"/>
      <c r="AE26" s="27"/>
      <c r="AF26" s="27"/>
      <c r="AG26" s="27"/>
    </row>
    <row r="27" spans="2:33" s="19" customFormat="1" ht="12.75">
      <c r="B27" s="19">
        <v>23</v>
      </c>
      <c r="C27" s="19" t="s">
        <v>121</v>
      </c>
      <c r="E27" s="25">
        <f>EnergPro90!AI27</f>
        <v>0.0177245536306634</v>
      </c>
      <c r="F27" s="25">
        <f>EnergPro90!AJ27</f>
        <v>0.002049770866553023</v>
      </c>
      <c r="G27" s="25">
        <f>EnergPro90!AK27</f>
        <v>0.017019562531256065</v>
      </c>
      <c r="J27" s="25"/>
      <c r="K27" s="25"/>
      <c r="L27" s="25"/>
      <c r="N27" s="27">
        <f t="shared" si="5"/>
        <v>234.11107762238188</v>
      </c>
      <c r="O27" s="27">
        <f t="shared" si="5"/>
        <v>3.791988978053834</v>
      </c>
      <c r="P27" s="27">
        <f t="shared" si="5"/>
        <v>29.916146840084604</v>
      </c>
      <c r="Q27" s="27">
        <f t="shared" si="2"/>
        <v>267.81921344052034</v>
      </c>
      <c r="R27" s="27">
        <v>501.8</v>
      </c>
      <c r="S27" s="27">
        <f t="shared" si="6"/>
        <v>233.98078655947967</v>
      </c>
      <c r="U27" s="27">
        <f t="shared" si="11"/>
        <v>438.64268452495304</v>
      </c>
      <c r="V27" s="27">
        <f t="shared" si="11"/>
        <v>7.10486766331277</v>
      </c>
      <c r="W27" s="27">
        <f t="shared" si="11"/>
        <v>56.05244781173415</v>
      </c>
      <c r="X27" s="27">
        <f t="shared" si="3"/>
        <v>501.79999999999995</v>
      </c>
      <c r="Y27" s="27">
        <f t="shared" si="9"/>
        <v>501.8</v>
      </c>
      <c r="Z27" s="27">
        <f t="shared" si="10"/>
        <v>0</v>
      </c>
      <c r="AB27" s="27"/>
      <c r="AC27" s="27"/>
      <c r="AD27" s="27"/>
      <c r="AE27" s="27"/>
      <c r="AF27" s="27"/>
      <c r="AG27" s="27"/>
    </row>
    <row r="28" spans="2:33" s="19" customFormat="1" ht="12.75">
      <c r="B28" s="19">
        <v>24</v>
      </c>
      <c r="C28" s="19" t="s">
        <v>122</v>
      </c>
      <c r="E28" s="25">
        <f>EnergPro90!AI28</f>
        <v>0.016505154561720185</v>
      </c>
      <c r="F28" s="25">
        <f>EnergPro90!AJ28</f>
        <v>0.0005134931977660154</v>
      </c>
      <c r="G28" s="25">
        <f>EnergPro90!AK28</f>
        <v>0.0044292497007262085</v>
      </c>
      <c r="H28" s="33"/>
      <c r="I28" s="33"/>
      <c r="J28" s="41"/>
      <c r="K28" s="41"/>
      <c r="L28" s="41"/>
      <c r="N28" s="27">
        <f t="shared" si="5"/>
        <v>218.00489881355958</v>
      </c>
      <c r="O28" s="27">
        <f t="shared" si="5"/>
        <v>0.9499405899493397</v>
      </c>
      <c r="P28" s="27">
        <f t="shared" si="5"/>
        <v>7.785516472293658</v>
      </c>
      <c r="Q28" s="27">
        <f t="shared" si="2"/>
        <v>226.74035587580258</v>
      </c>
      <c r="R28" s="27">
        <v>129.8</v>
      </c>
      <c r="S28" s="27">
        <f t="shared" si="6"/>
        <v>-96.94035587580257</v>
      </c>
      <c r="U28" s="27">
        <f t="shared" si="11"/>
        <v>124.79929193327978</v>
      </c>
      <c r="V28" s="27">
        <f t="shared" si="11"/>
        <v>0.5438038945434281</v>
      </c>
      <c r="W28" s="27">
        <f t="shared" si="11"/>
        <v>4.4569041721768</v>
      </c>
      <c r="X28" s="27">
        <f t="shared" si="3"/>
        <v>129.8</v>
      </c>
      <c r="Y28" s="27">
        <f t="shared" si="9"/>
        <v>129.8</v>
      </c>
      <c r="Z28" s="27">
        <f t="shared" si="10"/>
        <v>0</v>
      </c>
      <c r="AB28" s="27"/>
      <c r="AC28" s="27"/>
      <c r="AD28" s="27"/>
      <c r="AE28" s="27"/>
      <c r="AF28" s="27"/>
      <c r="AG28" s="27"/>
    </row>
    <row r="29" spans="2:33" s="19" customFormat="1" ht="12.75">
      <c r="B29" s="19">
        <v>25</v>
      </c>
      <c r="C29" s="19" t="s">
        <v>123</v>
      </c>
      <c r="E29" s="25">
        <f>EnergPro90!AI29</f>
        <v>0.0043264526431187195</v>
      </c>
      <c r="F29" s="25">
        <f>EnergPro90!AJ29</f>
        <v>0.0001029248888998327</v>
      </c>
      <c r="G29" s="25">
        <f>EnergPro90!AK29</f>
        <v>0</v>
      </c>
      <c r="N29" s="27">
        <f aca="true" t="shared" si="12" ref="N29:P44">E29*J$13</f>
        <v>57.14504927280449</v>
      </c>
      <c r="O29" s="27">
        <f t="shared" si="12"/>
        <v>0.19040666966445297</v>
      </c>
      <c r="P29" s="27">
        <f t="shared" si="12"/>
        <v>0</v>
      </c>
      <c r="Q29" s="27">
        <f t="shared" si="2"/>
        <v>57.33545594246895</v>
      </c>
      <c r="R29" s="27">
        <v>39.3</v>
      </c>
      <c r="S29" s="27">
        <f t="shared" si="6"/>
        <v>-18.03545594246895</v>
      </c>
      <c r="U29" s="27">
        <f t="shared" si="11"/>
        <v>39.16948770189738</v>
      </c>
      <c r="V29" s="27">
        <f t="shared" si="11"/>
        <v>0.13051229810261752</v>
      </c>
      <c r="W29" s="27">
        <f t="shared" si="11"/>
        <v>0</v>
      </c>
      <c r="X29" s="27">
        <f t="shared" si="3"/>
        <v>39.3</v>
      </c>
      <c r="Y29" s="27">
        <f t="shared" si="9"/>
        <v>39.3</v>
      </c>
      <c r="Z29" s="27">
        <f t="shared" si="10"/>
        <v>0</v>
      </c>
      <c r="AB29" s="27"/>
      <c r="AC29" s="27"/>
      <c r="AD29" s="27"/>
      <c r="AE29" s="27"/>
      <c r="AF29" s="27"/>
      <c r="AG29" s="27"/>
    </row>
    <row r="30" spans="2:33" s="19" customFormat="1" ht="12.75">
      <c r="B30" s="19">
        <v>26</v>
      </c>
      <c r="C30" s="19" t="s">
        <v>124</v>
      </c>
      <c r="E30" s="25">
        <f>EnergPro90!AI30</f>
        <v>0.0025249013847853724</v>
      </c>
      <c r="F30" s="25">
        <f>EnergPro90!AJ30</f>
        <v>0.0002058497777996654</v>
      </c>
      <c r="G30" s="25">
        <f>EnergPro90!AK30</f>
        <v>0.002219503760420766</v>
      </c>
      <c r="N30" s="27">
        <f t="shared" si="12"/>
        <v>33.349634433655616</v>
      </c>
      <c r="O30" s="27">
        <f t="shared" si="12"/>
        <v>0.38081333932890593</v>
      </c>
      <c r="P30" s="27">
        <f t="shared" si="12"/>
        <v>3.901334143396885</v>
      </c>
      <c r="Q30" s="27">
        <f t="shared" si="2"/>
        <v>37.63178191638141</v>
      </c>
      <c r="R30" s="27">
        <v>38</v>
      </c>
      <c r="S30" s="27">
        <f t="shared" si="6"/>
        <v>0.36821808361859354</v>
      </c>
      <c r="U30" s="27">
        <f t="shared" si="11"/>
        <v>33.67595271717</v>
      </c>
      <c r="V30" s="27">
        <f t="shared" si="11"/>
        <v>0.3845395077664161</v>
      </c>
      <c r="W30" s="27">
        <f t="shared" si="11"/>
        <v>3.939507775063581</v>
      </c>
      <c r="X30" s="27">
        <f t="shared" si="3"/>
        <v>38</v>
      </c>
      <c r="Y30" s="27">
        <f t="shared" si="9"/>
        <v>38</v>
      </c>
      <c r="Z30" s="27">
        <f t="shared" si="10"/>
        <v>0</v>
      </c>
      <c r="AB30" s="27"/>
      <c r="AC30" s="27"/>
      <c r="AD30" s="27"/>
      <c r="AE30" s="27"/>
      <c r="AF30" s="27"/>
      <c r="AG30" s="27"/>
    </row>
    <row r="31" spans="2:33" s="19" customFormat="1" ht="12.75">
      <c r="B31" s="19">
        <v>27</v>
      </c>
      <c r="C31" s="19" t="s">
        <v>125</v>
      </c>
      <c r="E31" s="25">
        <f>EnergPro90!AI31</f>
        <v>0.0031514277735383562</v>
      </c>
      <c r="F31" s="25">
        <f>EnergPro90!AJ31</f>
        <v>0.010492645358849813</v>
      </c>
      <c r="G31" s="25">
        <f>EnergPro90!AK31</f>
        <v>0.003788677796202573</v>
      </c>
      <c r="N31" s="27">
        <f t="shared" si="12"/>
        <v>41.6249778406721</v>
      </c>
      <c r="O31" s="27">
        <f t="shared" si="12"/>
        <v>19.410947926240794</v>
      </c>
      <c r="P31" s="27">
        <f t="shared" si="12"/>
        <v>6.659550800604478</v>
      </c>
      <c r="Q31" s="27">
        <f t="shared" si="2"/>
        <v>67.69547656751737</v>
      </c>
      <c r="R31" s="27">
        <f>13.6+59.8</f>
        <v>73.39999999999999</v>
      </c>
      <c r="S31" s="27">
        <f t="shared" si="6"/>
        <v>5.704523432482617</v>
      </c>
      <c r="U31" s="27">
        <f t="shared" si="11"/>
        <v>45.1326075008586</v>
      </c>
      <c r="V31" s="27">
        <f t="shared" si="11"/>
        <v>21.04665850701352</v>
      </c>
      <c r="W31" s="27">
        <f t="shared" si="11"/>
        <v>7.220733992127873</v>
      </c>
      <c r="X31" s="27">
        <f t="shared" si="3"/>
        <v>73.39999999999999</v>
      </c>
      <c r="Y31" s="27">
        <f t="shared" si="9"/>
        <v>73.39999999999999</v>
      </c>
      <c r="Z31" s="27">
        <f t="shared" si="10"/>
        <v>0</v>
      </c>
      <c r="AB31" s="27"/>
      <c r="AC31" s="27"/>
      <c r="AD31" s="27"/>
      <c r="AE31" s="27"/>
      <c r="AF31" s="27"/>
      <c r="AG31" s="27"/>
    </row>
    <row r="32" spans="2:33" s="19" customFormat="1" ht="12.75">
      <c r="B32" s="19">
        <v>28</v>
      </c>
      <c r="C32" s="19" t="s">
        <v>126</v>
      </c>
      <c r="E32" s="25">
        <f>EnergPro90!AI32</f>
        <v>2.729623118686889E-05</v>
      </c>
      <c r="F32" s="25">
        <f>EnergPro90!AJ32</f>
        <v>0.0001029248888998327</v>
      </c>
      <c r="G32" s="25">
        <f>EnergPro90!AK32</f>
        <v>0.00011681598739056666</v>
      </c>
      <c r="N32" s="27">
        <f>'[1]StrLuVmVer'!D39</f>
        <v>1.1914911045775034</v>
      </c>
      <c r="O32" s="27">
        <f>'[1]StrLuVmVer'!E39</f>
        <v>0.12922507326879626</v>
      </c>
      <c r="P32" s="27">
        <f>'[1]StrLuVmVer'!F39</f>
        <v>0.14979511859083888</v>
      </c>
      <c r="Q32" s="27">
        <f t="shared" si="2"/>
        <v>1.4705112964371385</v>
      </c>
      <c r="R32" s="27">
        <v>1.2</v>
      </c>
      <c r="S32" s="27">
        <f t="shared" si="6"/>
        <v>-0.27051129643713856</v>
      </c>
      <c r="U32" s="27">
        <f t="shared" si="11"/>
        <v>0.9723076109358707</v>
      </c>
      <c r="V32" s="27">
        <f t="shared" si="11"/>
        <v>0.10545317693122831</v>
      </c>
      <c r="W32" s="27">
        <f t="shared" si="11"/>
        <v>0.12223921213290101</v>
      </c>
      <c r="X32" s="27">
        <f t="shared" si="3"/>
        <v>1.2</v>
      </c>
      <c r="Y32" s="27">
        <f t="shared" si="9"/>
        <v>1.2</v>
      </c>
      <c r="Z32" s="27">
        <f t="shared" si="10"/>
        <v>0</v>
      </c>
      <c r="AB32" s="27"/>
      <c r="AC32" s="27"/>
      <c r="AD32" s="27"/>
      <c r="AE32" s="27"/>
      <c r="AF32" s="27"/>
      <c r="AG32" s="27"/>
    </row>
    <row r="33" spans="2:33" s="19" customFormat="1" ht="12.75">
      <c r="B33" s="19">
        <v>29</v>
      </c>
      <c r="C33" s="19" t="s">
        <v>127</v>
      </c>
      <c r="E33" s="25">
        <f>EnergPro90!AI33</f>
        <v>0.006288239672904195</v>
      </c>
      <c r="F33" s="25">
        <f>EnergPro90!AJ33</f>
        <v>0.028503119282762054</v>
      </c>
      <c r="G33" s="25">
        <f>EnergPro90!AK33</f>
        <v>0.010791218141036452</v>
      </c>
      <c r="N33" s="27">
        <f>'[1]StrLuVmVer'!D40</f>
        <v>18.44448678737416</v>
      </c>
      <c r="O33" s="27">
        <f>'[1]StrLuVmVer'!E40</f>
        <v>2.9528506999386352</v>
      </c>
      <c r="P33" s="27">
        <f>'[1]StrLuVmVer'!F40</f>
        <v>40.19059475586143</v>
      </c>
      <c r="Q33" s="27">
        <f t="shared" si="2"/>
        <v>61.58793224317423</v>
      </c>
      <c r="R33" s="27">
        <v>71.4</v>
      </c>
      <c r="S33" s="27">
        <f t="shared" si="6"/>
        <v>9.812067756825776</v>
      </c>
      <c r="U33" s="27">
        <f t="shared" si="11"/>
        <v>21.383026002865535</v>
      </c>
      <c r="V33" s="27">
        <f t="shared" si="11"/>
        <v>3.4232930429156467</v>
      </c>
      <c r="W33" s="27">
        <f t="shared" si="11"/>
        <v>46.593680954218826</v>
      </c>
      <c r="X33" s="27">
        <f t="shared" si="3"/>
        <v>71.4</v>
      </c>
      <c r="Y33" s="27">
        <f t="shared" si="9"/>
        <v>71.4</v>
      </c>
      <c r="Z33" s="27">
        <f t="shared" si="10"/>
        <v>0</v>
      </c>
      <c r="AB33" s="27"/>
      <c r="AC33" s="27"/>
      <c r="AD33" s="27"/>
      <c r="AE33" s="27"/>
      <c r="AF33" s="27"/>
      <c r="AG33" s="27"/>
    </row>
    <row r="34" spans="2:33" s="19" customFormat="1" ht="12.75">
      <c r="B34" s="19">
        <v>30</v>
      </c>
      <c r="C34" s="19" t="s">
        <v>128</v>
      </c>
      <c r="E34" s="25">
        <f>EnergPro90!AI34</f>
        <v>0.0027296231186868893</v>
      </c>
      <c r="F34" s="25">
        <f>EnergPro90!AJ34</f>
        <v>0.004940394667191969</v>
      </c>
      <c r="G34" s="25">
        <f>EnergPro90!AK34</f>
        <v>0.005607167394747198</v>
      </c>
      <c r="N34" s="27">
        <f>'[1]StrLuVmVer'!D41</f>
        <v>10.140318597370527</v>
      </c>
      <c r="O34" s="27">
        <f>'[1]StrLuVmVer'!E41</f>
        <v>1.6234036334555624</v>
      </c>
      <c r="P34" s="27">
        <f>'[1]StrLuVmVer'!F41</f>
        <v>22.095786136007966</v>
      </c>
      <c r="Q34" s="27">
        <f t="shared" si="2"/>
        <v>33.859508366834056</v>
      </c>
      <c r="R34" s="27">
        <v>49.1</v>
      </c>
      <c r="S34" s="27">
        <f t="shared" si="6"/>
        <v>15.240491633165945</v>
      </c>
      <c r="U34" s="27">
        <f t="shared" si="11"/>
        <v>14.704573903931339</v>
      </c>
      <c r="V34" s="27">
        <f t="shared" si="11"/>
        <v>2.3541132830134206</v>
      </c>
      <c r="W34" s="27">
        <f t="shared" si="11"/>
        <v>32.04131281305524</v>
      </c>
      <c r="X34" s="27">
        <f t="shared" si="3"/>
        <v>49.1</v>
      </c>
      <c r="Y34" s="27">
        <f t="shared" si="9"/>
        <v>49.1</v>
      </c>
      <c r="Z34" s="27">
        <f t="shared" si="10"/>
        <v>0</v>
      </c>
      <c r="AB34" s="27"/>
      <c r="AC34" s="27"/>
      <c r="AD34" s="27"/>
      <c r="AE34" s="27"/>
      <c r="AF34" s="27"/>
      <c r="AG34" s="27"/>
    </row>
    <row r="35" spans="2:33" s="19" customFormat="1" ht="12.75">
      <c r="B35" s="19">
        <v>31</v>
      </c>
      <c r="C35" s="19" t="s">
        <v>129</v>
      </c>
      <c r="E35" s="25">
        <f>EnergPro90!AI35</f>
        <v>0.008598312823863702</v>
      </c>
      <c r="F35" s="25">
        <f>EnergPro90!AJ35</f>
        <v>0.0001029248888998327</v>
      </c>
      <c r="G35" s="25">
        <f>EnergPro90!AK35</f>
        <v>0.004555823508232099</v>
      </c>
      <c r="N35" s="27">
        <f t="shared" si="12"/>
        <v>113.56902536866508</v>
      </c>
      <c r="O35" s="27">
        <f t="shared" si="12"/>
        <v>0.19040666966445297</v>
      </c>
      <c r="P35" s="27">
        <f t="shared" si="12"/>
        <v>8.008001662762027</v>
      </c>
      <c r="Q35" s="27">
        <f t="shared" si="2"/>
        <v>121.76743370109156</v>
      </c>
      <c r="R35" s="27">
        <v>97.5</v>
      </c>
      <c r="S35" s="27">
        <f t="shared" si="6"/>
        <v>-24.267433701091562</v>
      </c>
      <c r="U35" s="27">
        <f t="shared" si="11"/>
        <v>90.93547951931244</v>
      </c>
      <c r="V35" s="27">
        <f t="shared" si="11"/>
        <v>0.1524598961152102</v>
      </c>
      <c r="W35" s="27">
        <f t="shared" si="11"/>
        <v>6.412060584572363</v>
      </c>
      <c r="X35" s="27">
        <f t="shared" si="3"/>
        <v>97.5</v>
      </c>
      <c r="Y35" s="27">
        <f t="shared" si="9"/>
        <v>97.5</v>
      </c>
      <c r="Z35" s="27">
        <f t="shared" si="10"/>
        <v>0</v>
      </c>
      <c r="AB35" s="27"/>
      <c r="AC35" s="27"/>
      <c r="AD35" s="27"/>
      <c r="AE35" s="27"/>
      <c r="AF35" s="27"/>
      <c r="AG35" s="27"/>
    </row>
    <row r="36" spans="2:33" s="19" customFormat="1" ht="12.75">
      <c r="B36" s="19">
        <v>32</v>
      </c>
      <c r="C36" s="19" t="s">
        <v>130</v>
      </c>
      <c r="E36" s="25">
        <f>EnergPro90!AI36</f>
        <v>0.0069501461101799285</v>
      </c>
      <c r="F36" s="25">
        <f>EnergPro90!AJ36</f>
        <v>0.0018563049957063809</v>
      </c>
      <c r="G36" s="25">
        <f>EnergPro90!AK36</f>
        <v>0.0022307699957126526</v>
      </c>
      <c r="N36" s="27">
        <f t="shared" si="12"/>
        <v>91.79955836362176</v>
      </c>
      <c r="O36" s="27">
        <f t="shared" si="12"/>
        <v>3.4340853402127225</v>
      </c>
      <c r="P36" s="27">
        <f t="shared" si="12"/>
        <v>3.921137375630854</v>
      </c>
      <c r="Q36" s="27">
        <f t="shared" si="2"/>
        <v>99.15478107946532</v>
      </c>
      <c r="R36" s="27">
        <v>163.3</v>
      </c>
      <c r="S36" s="27">
        <f t="shared" si="6"/>
        <v>64.14521892053469</v>
      </c>
      <c r="U36" s="27">
        <f t="shared" si="11"/>
        <v>151.1865360154983</v>
      </c>
      <c r="V36" s="27">
        <f t="shared" si="11"/>
        <v>5.655664103653343</v>
      </c>
      <c r="W36" s="27">
        <f t="shared" si="11"/>
        <v>6.457799880848381</v>
      </c>
      <c r="X36" s="27">
        <f t="shared" si="3"/>
        <v>163.3</v>
      </c>
      <c r="Y36" s="27">
        <f t="shared" si="9"/>
        <v>163.3</v>
      </c>
      <c r="Z36" s="27">
        <f t="shared" si="10"/>
        <v>0</v>
      </c>
      <c r="AB36" s="27"/>
      <c r="AC36" s="27"/>
      <c r="AD36" s="27"/>
      <c r="AE36" s="27"/>
      <c r="AF36" s="27"/>
      <c r="AG36" s="27"/>
    </row>
    <row r="37" spans="2:33" s="19" customFormat="1" ht="12.75">
      <c r="B37" s="19">
        <v>33</v>
      </c>
      <c r="C37" s="19" t="s">
        <v>131</v>
      </c>
      <c r="E37" s="25">
        <f>EnergPro90!AI37</f>
        <v>0.021918873643055718</v>
      </c>
      <c r="F37" s="25">
        <f>EnergPro90!AJ37</f>
        <v>0.0014409484445976578</v>
      </c>
      <c r="G37" s="25">
        <f>EnergPro90!AK37</f>
        <v>0.005490351407356633</v>
      </c>
      <c r="N37" s="27">
        <f t="shared" si="12"/>
        <v>289.51088054297793</v>
      </c>
      <c r="O37" s="27">
        <f t="shared" si="12"/>
        <v>2.6656933753023417</v>
      </c>
      <c r="P37" s="27">
        <f t="shared" si="12"/>
        <v>9.650668670508086</v>
      </c>
      <c r="Q37" s="27">
        <f t="shared" si="2"/>
        <v>301.82724258878835</v>
      </c>
      <c r="R37" s="27">
        <v>193.7</v>
      </c>
      <c r="S37" s="27">
        <f t="shared" si="6"/>
        <v>-108.12724258878836</v>
      </c>
      <c r="U37" s="27">
        <f t="shared" si="11"/>
        <v>185.7958780665013</v>
      </c>
      <c r="V37" s="27">
        <f t="shared" si="11"/>
        <v>1.7107296291989638</v>
      </c>
      <c r="W37" s="27">
        <f t="shared" si="11"/>
        <v>6.193392304299752</v>
      </c>
      <c r="X37" s="27">
        <f t="shared" si="3"/>
        <v>193.70000000000002</v>
      </c>
      <c r="Y37" s="27">
        <f t="shared" si="9"/>
        <v>193.7</v>
      </c>
      <c r="Z37" s="27">
        <f t="shared" si="10"/>
        <v>0</v>
      </c>
      <c r="AB37" s="27"/>
      <c r="AC37" s="27"/>
      <c r="AD37" s="27"/>
      <c r="AE37" s="27"/>
      <c r="AF37" s="27"/>
      <c r="AG37" s="27"/>
    </row>
    <row r="38" spans="2:33" s="19" customFormat="1" ht="12.75">
      <c r="B38" s="19">
        <v>34</v>
      </c>
      <c r="C38" s="19" t="s">
        <v>132</v>
      </c>
      <c r="E38" s="25">
        <f>EnergPro90!AI38</f>
        <v>0.002320179650883856</v>
      </c>
      <c r="F38" s="25">
        <f>EnergPro90!AJ38</f>
        <v>0.0002058497777996654</v>
      </c>
      <c r="G38" s="25">
        <f>EnergPro90!AK38</f>
        <v>0.00011681598739056666</v>
      </c>
      <c r="N38" s="27">
        <f t="shared" si="12"/>
        <v>30.645610020115974</v>
      </c>
      <c r="O38" s="27">
        <f t="shared" si="12"/>
        <v>0.38081333932890593</v>
      </c>
      <c r="P38" s="27">
        <f t="shared" si="12"/>
        <v>0.20533337596825713</v>
      </c>
      <c r="Q38" s="27">
        <f t="shared" si="2"/>
        <v>31.23175673541314</v>
      </c>
      <c r="R38" s="27">
        <v>12.4</v>
      </c>
      <c r="S38" s="27">
        <f t="shared" si="6"/>
        <v>-18.831756735413137</v>
      </c>
      <c r="U38" s="27">
        <f t="shared" si="11"/>
        <v>12.167281125706145</v>
      </c>
      <c r="V38" s="27">
        <f t="shared" si="11"/>
        <v>0.1511949983371939</v>
      </c>
      <c r="W38" s="27">
        <f t="shared" si="11"/>
        <v>0.08152387595665958</v>
      </c>
      <c r="X38" s="27">
        <f t="shared" si="3"/>
        <v>12.399999999999999</v>
      </c>
      <c r="Y38" s="27">
        <f t="shared" si="9"/>
        <v>12.4</v>
      </c>
      <c r="Z38" s="27">
        <f t="shared" si="10"/>
        <v>0</v>
      </c>
      <c r="AB38" s="27"/>
      <c r="AC38" s="27"/>
      <c r="AD38" s="27"/>
      <c r="AE38" s="27"/>
      <c r="AF38" s="27"/>
      <c r="AG38" s="27"/>
    </row>
    <row r="39" spans="2:33" s="19" customFormat="1" ht="12.75">
      <c r="B39" s="19">
        <v>35</v>
      </c>
      <c r="C39" s="19" t="s">
        <v>133</v>
      </c>
      <c r="E39" s="25">
        <f>EnergPro90!AI39</f>
        <v>0.057241501951688936</v>
      </c>
      <c r="F39" s="25">
        <f>EnergPro90!AJ39</f>
        <v>0.018443627868625728</v>
      </c>
      <c r="G39" s="25">
        <f>EnergPro90!AK39</f>
        <v>0.02181181721802768</v>
      </c>
      <c r="N39" s="27">
        <f>E39*J$13+N46</f>
        <v>763.5545423564723</v>
      </c>
      <c r="O39" s="27">
        <f>F39*K$13+O46</f>
        <v>35.31936387530955</v>
      </c>
      <c r="P39" s="27">
        <f>G39*L$13+P46</f>
        <v>54.66499598872481</v>
      </c>
      <c r="Q39" s="27">
        <f t="shared" si="2"/>
        <v>853.5389022205068</v>
      </c>
      <c r="R39" s="27">
        <f>5896.6-5245.5</f>
        <v>651.1000000000004</v>
      </c>
      <c r="S39" s="27">
        <f t="shared" si="6"/>
        <v>-202.4389022205064</v>
      </c>
      <c r="U39" s="27">
        <f t="shared" si="11"/>
        <v>582.4577664063676</v>
      </c>
      <c r="V39" s="27">
        <f t="shared" si="11"/>
        <v>26.942460102741826</v>
      </c>
      <c r="W39" s="27">
        <f t="shared" si="11"/>
        <v>41.69977349089083</v>
      </c>
      <c r="X39" s="27">
        <f t="shared" si="3"/>
        <v>651.1000000000003</v>
      </c>
      <c r="Y39" s="27">
        <f t="shared" si="9"/>
        <v>651.1000000000004</v>
      </c>
      <c r="Z39" s="27">
        <f t="shared" si="10"/>
        <v>0</v>
      </c>
      <c r="AB39" s="27"/>
      <c r="AC39" s="27"/>
      <c r="AD39" s="27"/>
      <c r="AE39" s="27"/>
      <c r="AF39" s="27"/>
      <c r="AG39" s="27"/>
    </row>
    <row r="40" spans="2:33" s="19" customFormat="1" ht="12.75">
      <c r="B40" s="19">
        <v>36</v>
      </c>
      <c r="C40" s="19" t="s">
        <v>134</v>
      </c>
      <c r="E40" s="25">
        <f>EnergPro90!AI40</f>
        <v>0.001992624876641429</v>
      </c>
      <c r="F40" s="25">
        <f>EnergPro90!AJ40</f>
        <v>0.003834498532379566</v>
      </c>
      <c r="G40" s="25">
        <f>EnergPro90!AK40</f>
        <v>0.002744635277177054</v>
      </c>
      <c r="N40" s="27">
        <f t="shared" si="12"/>
        <v>26.31917095845254</v>
      </c>
      <c r="O40" s="27">
        <f t="shared" si="12"/>
        <v>7.0936593003678485</v>
      </c>
      <c r="P40" s="27">
        <f t="shared" si="12"/>
        <v>4.824384400228489</v>
      </c>
      <c r="Q40" s="27">
        <f t="shared" si="2"/>
        <v>38.237214659048874</v>
      </c>
      <c r="R40" s="27">
        <v>7.7</v>
      </c>
      <c r="S40" s="27">
        <f t="shared" si="6"/>
        <v>-30.537214659048875</v>
      </c>
      <c r="U40" s="27">
        <f t="shared" si="11"/>
        <v>5.300009903627367</v>
      </c>
      <c r="V40" s="27">
        <f t="shared" si="11"/>
        <v>1.4284820978691837</v>
      </c>
      <c r="W40" s="27">
        <f t="shared" si="11"/>
        <v>0.9715079985034504</v>
      </c>
      <c r="X40" s="27">
        <f t="shared" si="3"/>
        <v>7.700000000000001</v>
      </c>
      <c r="Y40" s="27">
        <f t="shared" si="9"/>
        <v>7.7</v>
      </c>
      <c r="Z40" s="27">
        <f t="shared" si="10"/>
        <v>0</v>
      </c>
      <c r="AB40" s="27"/>
      <c r="AC40" s="27"/>
      <c r="AD40" s="27"/>
      <c r="AE40" s="27"/>
      <c r="AF40" s="27"/>
      <c r="AG40" s="27"/>
    </row>
    <row r="41" spans="2:33" s="19" customFormat="1" ht="12.75">
      <c r="B41" s="19">
        <v>37</v>
      </c>
      <c r="C41" s="19" t="s">
        <v>135</v>
      </c>
      <c r="E41" s="25">
        <f>EnergPro90!AI41</f>
        <v>0.0028600351811541897</v>
      </c>
      <c r="F41" s="25">
        <f>EnergPro90!AJ41</f>
        <v>0.00544297313186985</v>
      </c>
      <c r="G41" s="25">
        <f>EnergPro90!AK41</f>
        <v>0.0017557373643372599</v>
      </c>
      <c r="N41" s="27">
        <f t="shared" si="12"/>
        <v>37.77617943165493</v>
      </c>
      <c r="O41" s="27">
        <f t="shared" si="12"/>
        <v>10.069268941558413</v>
      </c>
      <c r="P41" s="27">
        <f t="shared" si="12"/>
        <v>3.0861484663707266</v>
      </c>
      <c r="Q41" s="27">
        <f t="shared" si="2"/>
        <v>50.931596839584074</v>
      </c>
      <c r="R41" s="27">
        <v>7</v>
      </c>
      <c r="S41" s="27">
        <f t="shared" si="6"/>
        <v>-43.931596839584074</v>
      </c>
      <c r="U41" s="27">
        <f t="shared" si="11"/>
        <v>5.191929419657755</v>
      </c>
      <c r="V41" s="27">
        <f t="shared" si="11"/>
        <v>1.383912678271418</v>
      </c>
      <c r="W41" s="27">
        <f t="shared" si="11"/>
        <v>0.4241579020708259</v>
      </c>
      <c r="X41" s="27">
        <f t="shared" si="3"/>
        <v>6.999999999999999</v>
      </c>
      <c r="Y41" s="27">
        <f t="shared" si="9"/>
        <v>7</v>
      </c>
      <c r="Z41" s="27">
        <f t="shared" si="10"/>
        <v>0</v>
      </c>
      <c r="AB41" s="27"/>
      <c r="AC41" s="27"/>
      <c r="AD41" s="27"/>
      <c r="AE41" s="27"/>
      <c r="AF41" s="27"/>
      <c r="AG41" s="27"/>
    </row>
    <row r="42" spans="2:33" s="19" customFormat="1" ht="12.75">
      <c r="B42" s="19">
        <v>38</v>
      </c>
      <c r="C42" s="19" t="s">
        <v>136</v>
      </c>
      <c r="E42" s="25">
        <f>EnergPro90!AI42</f>
        <v>0</v>
      </c>
      <c r="F42" s="25">
        <f>EnergPro90!AJ42</f>
        <v>0</v>
      </c>
      <c r="G42" s="25">
        <f>EnergPro90!AK42</f>
        <v>0</v>
      </c>
      <c r="N42" s="27">
        <f t="shared" si="12"/>
        <v>0</v>
      </c>
      <c r="O42" s="27">
        <f t="shared" si="12"/>
        <v>0</v>
      </c>
      <c r="P42" s="27">
        <f t="shared" si="12"/>
        <v>0</v>
      </c>
      <c r="Q42" s="27">
        <f t="shared" si="2"/>
        <v>0</v>
      </c>
      <c r="R42" s="27">
        <v>0</v>
      </c>
      <c r="S42" s="27">
        <f t="shared" si="6"/>
        <v>0</v>
      </c>
      <c r="U42" s="27">
        <v>0</v>
      </c>
      <c r="V42" s="27">
        <v>0</v>
      </c>
      <c r="W42" s="27">
        <v>0</v>
      </c>
      <c r="X42" s="27">
        <f t="shared" si="3"/>
        <v>0</v>
      </c>
      <c r="Y42" s="27">
        <f t="shared" si="9"/>
        <v>0</v>
      </c>
      <c r="Z42" s="27">
        <f t="shared" si="10"/>
        <v>0</v>
      </c>
      <c r="AB42" s="27"/>
      <c r="AC42" s="27"/>
      <c r="AD42" s="27"/>
      <c r="AE42" s="27"/>
      <c r="AF42" s="27"/>
      <c r="AG42" s="27"/>
    </row>
    <row r="43" spans="2:33" s="19" customFormat="1" ht="12.75">
      <c r="B43" s="19">
        <v>39</v>
      </c>
      <c r="C43" s="19" t="s">
        <v>137</v>
      </c>
      <c r="E43" s="25">
        <f>EnergPro90!AI43</f>
        <v>0.0039029428883857113</v>
      </c>
      <c r="F43" s="25">
        <f>EnergPro90!AJ43</f>
        <v>0.0003087415873319767</v>
      </c>
      <c r="G43" s="25">
        <f>EnergPro90!AK43</f>
        <v>0.0017520520914924367</v>
      </c>
      <c r="N43" s="27">
        <f t="shared" si="12"/>
        <v>51.551208822424464</v>
      </c>
      <c r="O43" s="27">
        <f t="shared" si="12"/>
        <v>0.5711588135694757</v>
      </c>
      <c r="P43" s="27">
        <f t="shared" si="12"/>
        <v>3.079670675689031</v>
      </c>
      <c r="Q43" s="27">
        <f t="shared" si="2"/>
        <v>55.20203831168297</v>
      </c>
      <c r="R43" s="27">
        <v>25.3</v>
      </c>
      <c r="S43" s="27">
        <f t="shared" si="6"/>
        <v>-29.90203831168297</v>
      </c>
      <c r="U43" s="27">
        <f>N43*$R43/$Q43</f>
        <v>23.626764936527863</v>
      </c>
      <c r="V43" s="27">
        <f>O43*$R43/$Q43</f>
        <v>0.2617714567298771</v>
      </c>
      <c r="W43" s="27">
        <f>P43*$R43/$Q43</f>
        <v>1.4114636067422603</v>
      </c>
      <c r="X43" s="27">
        <f t="shared" si="3"/>
        <v>25.3</v>
      </c>
      <c r="Y43" s="27">
        <f t="shared" si="9"/>
        <v>25.3</v>
      </c>
      <c r="Z43" s="27">
        <f t="shared" si="10"/>
        <v>0</v>
      </c>
      <c r="AB43" s="27"/>
      <c r="AC43" s="27"/>
      <c r="AD43" s="27"/>
      <c r="AE43" s="27"/>
      <c r="AF43" s="27"/>
      <c r="AG43" s="27"/>
    </row>
    <row r="44" spans="2:33" s="19" customFormat="1" ht="12.75">
      <c r="B44" s="19">
        <v>40</v>
      </c>
      <c r="C44" s="19" t="s">
        <v>138</v>
      </c>
      <c r="E44" s="25">
        <f>EnergPro90!AI44</f>
        <v>0</v>
      </c>
      <c r="F44" s="25">
        <f>EnergPro90!AJ44</f>
        <v>0</v>
      </c>
      <c r="G44" s="25">
        <f>EnergPro90!AK44</f>
        <v>0</v>
      </c>
      <c r="N44" s="27">
        <f t="shared" si="12"/>
        <v>0</v>
      </c>
      <c r="O44" s="27">
        <f t="shared" si="12"/>
        <v>0</v>
      </c>
      <c r="P44" s="27">
        <f t="shared" si="12"/>
        <v>0</v>
      </c>
      <c r="Q44" s="27">
        <f t="shared" si="2"/>
        <v>0</v>
      </c>
      <c r="R44" s="27">
        <v>0</v>
      </c>
      <c r="S44" s="27">
        <f t="shared" si="6"/>
        <v>0</v>
      </c>
      <c r="U44" s="27">
        <v>0</v>
      </c>
      <c r="V44" s="27">
        <v>0</v>
      </c>
      <c r="W44" s="27">
        <v>0</v>
      </c>
      <c r="X44" s="27">
        <f t="shared" si="3"/>
        <v>0</v>
      </c>
      <c r="Y44" s="27">
        <f t="shared" si="9"/>
        <v>0</v>
      </c>
      <c r="Z44" s="27">
        <f t="shared" si="10"/>
        <v>0</v>
      </c>
      <c r="AB44" s="27"/>
      <c r="AC44" s="27"/>
      <c r="AD44" s="27"/>
      <c r="AE44" s="27"/>
      <c r="AF44" s="27"/>
      <c r="AG44" s="27"/>
    </row>
    <row r="45" spans="2:26" s="19" customFormat="1" ht="12.75">
      <c r="B45" s="19">
        <v>41</v>
      </c>
      <c r="C45" s="19" t="s">
        <v>139</v>
      </c>
      <c r="E45" s="25"/>
      <c r="F45" s="25"/>
      <c r="G45" s="25"/>
      <c r="N45" s="27"/>
      <c r="O45" s="27"/>
      <c r="P45" s="27"/>
      <c r="Q45" s="27"/>
      <c r="Y45" s="27"/>
      <c r="Z45" s="27"/>
    </row>
    <row r="46" spans="2:17" s="19" customFormat="1" ht="12.75">
      <c r="B46" s="19">
        <v>42</v>
      </c>
      <c r="E46" s="25"/>
      <c r="F46" s="25"/>
      <c r="G46" s="25"/>
      <c r="N46" s="27">
        <f>'[1]StrLuVmVer'!D42</f>
        <v>7.492077491341583</v>
      </c>
      <c r="O46" s="27">
        <f>'[1]StrLuVmVer'!E42</f>
        <v>1.1994362607826192</v>
      </c>
      <c r="P46" s="27">
        <f>'[1]StrLuVmVer'!F42</f>
        <v>16.32526043175897</v>
      </c>
      <c r="Q46" s="27">
        <f t="shared" si="2"/>
        <v>25.01677418388317</v>
      </c>
    </row>
    <row r="47" spans="5:18" s="19" customFormat="1" ht="12.75">
      <c r="E47"/>
      <c r="F47"/>
      <c r="G47"/>
      <c r="Q47" s="27"/>
      <c r="R47" s="27">
        <f>SUM(R5:R46)</f>
        <v>5896.599999999999</v>
      </c>
    </row>
    <row r="48" spans="2:33" s="19" customFormat="1" ht="12.75">
      <c r="B48" s="33" t="s">
        <v>228</v>
      </c>
      <c r="C48" s="33"/>
      <c r="D48" s="33"/>
      <c r="E48" s="41">
        <f>SUM(E5:E46)</f>
        <v>0.42914026907341735</v>
      </c>
      <c r="F48" s="41">
        <f>SUM(F5:F46)</f>
        <v>0.5565995786195208</v>
      </c>
      <c r="G48" s="41">
        <f>SUM(G5:G46)</f>
        <v>0.4311061414079406</v>
      </c>
      <c r="N48" s="29">
        <f>SUM(N5:N46)</f>
        <v>6176.433210766086</v>
      </c>
      <c r="O48" s="29">
        <f>SUM(O5:O46)</f>
        <v>776.9954992304445</v>
      </c>
      <c r="P48" s="29">
        <f>SUM(P5:P46)</f>
        <v>792.5240882050375</v>
      </c>
      <c r="Q48" s="29">
        <f>SUM(N48:P48)</f>
        <v>7745.952798201568</v>
      </c>
      <c r="R48" s="29">
        <v>5896.633680212022</v>
      </c>
      <c r="S48" s="29">
        <f>R48-Q48</f>
        <v>-1849.3191179895457</v>
      </c>
      <c r="U48" s="29">
        <f>SUM(U5:U46)</f>
        <v>4786.776254257235</v>
      </c>
      <c r="V48" s="29">
        <f>SUM(V5:V46)</f>
        <v>531.0090204648216</v>
      </c>
      <c r="W48" s="29">
        <f>SUM(W5:W46)</f>
        <v>578.8600140765257</v>
      </c>
      <c r="X48" s="29">
        <f>SUM(X5:X46)</f>
        <v>5896.645288798582</v>
      </c>
      <c r="Y48" s="29">
        <f>SUM(Y5:Y46)</f>
        <v>5896.599999999999</v>
      </c>
      <c r="Z48" s="29">
        <f>Y48-X48</f>
        <v>-0.04528879858298751</v>
      </c>
      <c r="AB48" s="29"/>
      <c r="AC48" s="29"/>
      <c r="AD48" s="29"/>
      <c r="AE48" s="29"/>
      <c r="AF48" s="29"/>
      <c r="AG48" s="29"/>
    </row>
    <row r="49" spans="2:7" s="19" customFormat="1" ht="12.75">
      <c r="B49"/>
      <c r="E49" s="25"/>
      <c r="F49" s="25"/>
      <c r="G49" s="25"/>
    </row>
    <row r="50" spans="2:30" s="19" customFormat="1" ht="12.75">
      <c r="B50" s="19" t="s">
        <v>229</v>
      </c>
      <c r="E50" s="25"/>
      <c r="F50" s="25"/>
      <c r="G50" s="25"/>
      <c r="U50" s="27">
        <f>SUM(U6:U8)</f>
        <v>1621.64285904</v>
      </c>
      <c r="V50" s="27">
        <f>SUM(V6:V8)</f>
        <v>318.01121704368296</v>
      </c>
      <c r="W50" s="27">
        <f>SUM(W6:W8)</f>
        <v>89.69121271489999</v>
      </c>
      <c r="AB50" s="27"/>
      <c r="AC50" s="27"/>
      <c r="AD50" s="27"/>
    </row>
    <row r="51" spans="5:7" s="19" customFormat="1" ht="12.75">
      <c r="E51" s="24"/>
      <c r="F51" s="24"/>
      <c r="G51" s="24"/>
    </row>
    <row r="52" spans="5:7" s="19" customFormat="1" ht="12.75">
      <c r="E52" s="42"/>
      <c r="F52" s="42"/>
      <c r="G52" s="42"/>
    </row>
    <row r="53" spans="2:33" s="19" customFormat="1" ht="12.75">
      <c r="B53" s="51" t="s">
        <v>230</v>
      </c>
      <c r="E53" s="25">
        <f>EnergPro90!AI53</f>
        <v>0.15687144063093553</v>
      </c>
      <c r="F53" s="25">
        <f>EnergPro90!AJ53</f>
        <v>0.17610448490761374</v>
      </c>
      <c r="G53" s="25">
        <f>EnergPro90!AK53</f>
        <v>0.24940213307885978</v>
      </c>
      <c r="N53" s="27">
        <f aca="true" t="shared" si="13" ref="N53:P57">E53*J$13</f>
        <v>2072.003773948312</v>
      </c>
      <c r="O53" s="27">
        <f t="shared" si="13"/>
        <v>325.785811795879</v>
      </c>
      <c r="P53" s="27">
        <f t="shared" si="13"/>
        <v>438.3867576922289</v>
      </c>
      <c r="Q53" s="27">
        <f>SUM(N53:P53)</f>
        <v>2836.1763434364198</v>
      </c>
      <c r="R53" s="27">
        <v>2372.2135161173737</v>
      </c>
      <c r="S53" s="29">
        <f>R53-Q53</f>
        <v>-463.962827319046</v>
      </c>
      <c r="U53" s="27">
        <f aca="true" t="shared" si="14" ref="U53:W55">N53*$R53/$Q53</f>
        <v>1733.049980965184</v>
      </c>
      <c r="V53" s="27">
        <f t="shared" si="14"/>
        <v>272.4913448664692</v>
      </c>
      <c r="W53" s="27">
        <f t="shared" si="14"/>
        <v>366.6721902857203</v>
      </c>
      <c r="X53" s="27">
        <f>SUM(U53:W53)</f>
        <v>2372.2135161173737</v>
      </c>
      <c r="Y53" s="27">
        <v>2372.2135161173737</v>
      </c>
      <c r="Z53" s="29">
        <f>Y53-X53</f>
        <v>0</v>
      </c>
      <c r="AB53" s="27"/>
      <c r="AC53" s="27"/>
      <c r="AD53" s="27"/>
      <c r="AE53" s="27"/>
      <c r="AF53" s="27"/>
      <c r="AG53" s="29"/>
    </row>
    <row r="54" spans="2:33" s="19" customFormat="1" ht="12.75">
      <c r="B54" s="51" t="s">
        <v>232</v>
      </c>
      <c r="E54" s="25">
        <f>EnergPro90!AI54</f>
        <v>0.4153531018549905</v>
      </c>
      <c r="F54" s="25">
        <f>EnergPro90!AJ54</f>
        <v>0.27347142980685546</v>
      </c>
      <c r="G54" s="25">
        <f>EnergPro90!AK54</f>
        <v>0.3218280452610111</v>
      </c>
      <c r="N54" s="27">
        <f t="shared" si="13"/>
        <v>5486.104998483468</v>
      </c>
      <c r="O54" s="27">
        <f t="shared" si="13"/>
        <v>505.9105212984515</v>
      </c>
      <c r="P54" s="27">
        <f t="shared" si="13"/>
        <v>565.6934507925483</v>
      </c>
      <c r="Q54" s="27">
        <f>SUM(N54:P54)</f>
        <v>6557.7089705744675</v>
      </c>
      <c r="R54" s="27">
        <v>7977.421043882627</v>
      </c>
      <c r="S54" s="29">
        <f>R54-Q54</f>
        <v>1419.7120733081592</v>
      </c>
      <c r="U54" s="27">
        <f t="shared" si="14"/>
        <v>6673.820027731086</v>
      </c>
      <c r="V54" s="27">
        <f t="shared" si="14"/>
        <v>615.4376867039202</v>
      </c>
      <c r="W54" s="27">
        <f t="shared" si="14"/>
        <v>688.1633294476209</v>
      </c>
      <c r="X54" s="27">
        <f>SUM(U54:W54)</f>
        <v>7977.421043882627</v>
      </c>
      <c r="Y54" s="27">
        <v>7977.421043882627</v>
      </c>
      <c r="Z54" s="29">
        <f>Y54-X54</f>
        <v>0</v>
      </c>
      <c r="AB54" s="27"/>
      <c r="AC54" s="27"/>
      <c r="AD54" s="27"/>
      <c r="AE54" s="27"/>
      <c r="AF54" s="27"/>
      <c r="AG54" s="29"/>
    </row>
    <row r="55" spans="2:33" s="19" customFormat="1" ht="12.75">
      <c r="B55" s="51" t="s">
        <v>247</v>
      </c>
      <c r="E55" s="25">
        <v>0.061</v>
      </c>
      <c r="F55" s="25">
        <v>0.061</v>
      </c>
      <c r="G55" s="25">
        <v>0.061</v>
      </c>
      <c r="N55" s="27">
        <f t="shared" si="13"/>
        <v>805.7058040807084</v>
      </c>
      <c r="O55" s="27">
        <f t="shared" si="13"/>
        <v>112.84740720813652</v>
      </c>
      <c r="P55" s="27">
        <f t="shared" si="13"/>
        <v>107.22278871115508</v>
      </c>
      <c r="Q55" s="27">
        <f>SUM(N55:P55)</f>
        <v>1025.7759999999998</v>
      </c>
      <c r="R55" s="27">
        <v>601.3728371483683</v>
      </c>
      <c r="S55" s="29">
        <f>R55-Q55</f>
        <v>-424.4031628516316</v>
      </c>
      <c r="U55" s="27">
        <f t="shared" si="14"/>
        <v>472.35418386365353</v>
      </c>
      <c r="V55" s="27">
        <f t="shared" si="14"/>
        <v>66.15807489899773</v>
      </c>
      <c r="W55" s="27">
        <f t="shared" si="14"/>
        <v>62.860578385717126</v>
      </c>
      <c r="X55" s="27">
        <f>SUM(U55:W55)</f>
        <v>601.3728371483684</v>
      </c>
      <c r="Y55" s="27">
        <v>601.3728371483683</v>
      </c>
      <c r="Z55" s="29">
        <f>Y55-X55</f>
        <v>0</v>
      </c>
      <c r="AB55" s="27"/>
      <c r="AC55" s="27"/>
      <c r="AD55" s="27"/>
      <c r="AE55" s="27"/>
      <c r="AF55" s="27"/>
      <c r="AG55" s="29"/>
    </row>
    <row r="56" spans="2:31" s="19" customFormat="1" ht="12.75">
      <c r="B56" s="51" t="s">
        <v>234</v>
      </c>
      <c r="E56" s="25">
        <f>EnergPro90!AI56</f>
        <v>0</v>
      </c>
      <c r="F56" s="25">
        <f>EnergPro90!AJ56</f>
        <v>0</v>
      </c>
      <c r="G56" s="25">
        <f>EnergPro90!AK56</f>
        <v>0</v>
      </c>
      <c r="N56" s="27">
        <f t="shared" si="13"/>
        <v>0</v>
      </c>
      <c r="O56" s="27">
        <f t="shared" si="13"/>
        <v>0</v>
      </c>
      <c r="P56" s="27">
        <f t="shared" si="13"/>
        <v>0</v>
      </c>
      <c r="Q56" s="27">
        <f>SUM(N56:P56)</f>
        <v>0</v>
      </c>
      <c r="U56" s="27"/>
      <c r="V56" s="27"/>
      <c r="W56" s="27"/>
      <c r="X56" s="27">
        <f>SUM(U56:W56)</f>
        <v>0</v>
      </c>
      <c r="AB56" s="27"/>
      <c r="AC56" s="27"/>
      <c r="AD56" s="27"/>
      <c r="AE56" s="27"/>
    </row>
    <row r="57" spans="2:31" s="19" customFormat="1" ht="12.75">
      <c r="B57" s="51" t="s">
        <v>235</v>
      </c>
      <c r="E57" s="25">
        <f>EnergPro90!AI57</f>
        <v>-0.0013648115593434447</v>
      </c>
      <c r="F57" s="25">
        <f>EnergPro90!AJ57</f>
        <v>-0.006175493333989962</v>
      </c>
      <c r="G57" s="25">
        <f>EnergPro90!AK57</f>
        <v>-0.002336319747811333</v>
      </c>
      <c r="N57" s="27">
        <f t="shared" si="13"/>
        <v>-18.026829423597633</v>
      </c>
      <c r="O57" s="27">
        <f t="shared" si="13"/>
        <v>-11.42440017986718</v>
      </c>
      <c r="P57" s="27">
        <f t="shared" si="13"/>
        <v>-4.106667519365143</v>
      </c>
      <c r="Q57" s="27">
        <f>SUM(N57:P57)</f>
        <v>-33.55789712282996</v>
      </c>
      <c r="U57" s="27"/>
      <c r="V57" s="27"/>
      <c r="W57" s="27"/>
      <c r="X57" s="27">
        <f>SUM(U57:W57)</f>
        <v>0</v>
      </c>
      <c r="AB57" s="27"/>
      <c r="AC57" s="27"/>
      <c r="AD57" s="27"/>
      <c r="AE57" s="27"/>
    </row>
    <row r="58" s="19" customFormat="1" ht="12.75">
      <c r="R58" s="27">
        <f>SUM(R53:R55)</f>
        <v>10951.007397148369</v>
      </c>
    </row>
    <row r="59" spans="2:48" s="19" customFormat="1" ht="12.75">
      <c r="B59" s="33" t="s">
        <v>236</v>
      </c>
      <c r="C59" s="33"/>
      <c r="D59" s="33"/>
      <c r="E59" s="25">
        <f>EnergPro90!AI59</f>
        <v>0.5708597309265826</v>
      </c>
      <c r="F59" s="25">
        <f>EnergPro90!AJ59</f>
        <v>0.44340042138047925</v>
      </c>
      <c r="G59" s="25">
        <f>EnergPro90!AK59</f>
        <v>0.5688938585920595</v>
      </c>
      <c r="H59" s="33"/>
      <c r="I59" s="33"/>
      <c r="J59" s="33"/>
      <c r="K59" s="33"/>
      <c r="L59" s="33"/>
      <c r="M59" s="33"/>
      <c r="N59" s="29">
        <f>SUM(N53:N57)</f>
        <v>8345.78774708889</v>
      </c>
      <c r="O59" s="29">
        <f>SUM(O53:O57)</f>
        <v>933.1193401225997</v>
      </c>
      <c r="P59" s="29">
        <f>SUM(P53:P57)</f>
        <v>1107.196329676567</v>
      </c>
      <c r="Q59" s="29">
        <f>SUM(Q53:Q57)</f>
        <v>10386.103416888058</v>
      </c>
      <c r="R59" s="29">
        <v>10951</v>
      </c>
      <c r="S59" s="29">
        <f>R59-Q59</f>
        <v>564.8965831119422</v>
      </c>
      <c r="T59" s="33"/>
      <c r="U59" s="29">
        <f>SUM(U53:U57)</f>
        <v>8879.224192559925</v>
      </c>
      <c r="V59" s="29">
        <f>SUM(V53:V57)</f>
        <v>954.0871064693872</v>
      </c>
      <c r="W59" s="29">
        <f>SUM(W53:W57)</f>
        <v>1117.6960981190584</v>
      </c>
      <c r="X59" s="29">
        <f>SUM(X53:X57)</f>
        <v>10951.007397148369</v>
      </c>
      <c r="Y59" s="29">
        <v>10951</v>
      </c>
      <c r="Z59" s="29">
        <f>Y59-X59</f>
        <v>-0.0073971483689092565</v>
      </c>
      <c r="AA59" s="33"/>
      <c r="AB59" s="29"/>
      <c r="AC59" s="29"/>
      <c r="AD59" s="29"/>
      <c r="AE59" s="29"/>
      <c r="AF59" s="29"/>
      <c r="AG59" s="29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</row>
    <row r="60" s="19" customFormat="1" ht="12.75"/>
    <row r="61" spans="2:33" s="19" customFormat="1" ht="12.75">
      <c r="B61" s="33" t="s">
        <v>237</v>
      </c>
      <c r="E61" s="41">
        <f>EnergPro90!AI61</f>
        <v>1</v>
      </c>
      <c r="F61" s="41">
        <f>EnergPro90!AJ61</f>
        <v>1</v>
      </c>
      <c r="G61" s="41">
        <f>EnergPro90!AK61</f>
        <v>1</v>
      </c>
      <c r="N61" s="29">
        <f>N48+N59</f>
        <v>14522.220957854977</v>
      </c>
      <c r="O61" s="29">
        <f>O48+O59</f>
        <v>1710.1148393530443</v>
      </c>
      <c r="P61" s="29">
        <f>P48+P59</f>
        <v>1899.7204178816046</v>
      </c>
      <c r="Q61" s="29">
        <f>Q48+Q59</f>
        <v>18132.056215089626</v>
      </c>
      <c r="R61" s="33">
        <v>10743.6</v>
      </c>
      <c r="S61" s="29">
        <f>R61-Q61</f>
        <v>-7388.456215089625</v>
      </c>
      <c r="U61" s="29">
        <f>U48+U59</f>
        <v>13666.000446817161</v>
      </c>
      <c r="V61" s="29">
        <f>V48+V59</f>
        <v>1485.0961269342088</v>
      </c>
      <c r="W61" s="29">
        <f>W48+W59</f>
        <v>1696.556112195584</v>
      </c>
      <c r="X61" s="29">
        <f>X48+X59</f>
        <v>16847.652685946952</v>
      </c>
      <c r="Y61" s="29">
        <f>Y48+Y59</f>
        <v>16847.6</v>
      </c>
      <c r="Z61" s="29">
        <f>Y61-X61</f>
        <v>-0.05268594695371576</v>
      </c>
      <c r="AB61" s="29"/>
      <c r="AC61" s="29"/>
      <c r="AD61" s="29"/>
      <c r="AE61" s="29"/>
      <c r="AF61" s="33"/>
      <c r="AG61" s="29"/>
    </row>
    <row r="62" spans="1:30" s="19" customFormat="1" ht="12.75">
      <c r="A62" s="19" t="s">
        <v>238</v>
      </c>
      <c r="AA62"/>
      <c r="AB62" s="38"/>
      <c r="AC62" s="38"/>
      <c r="AD62" s="38"/>
    </row>
    <row r="63" spans="2:30" s="19" customFormat="1" ht="12.75">
      <c r="B63" s="33" t="s">
        <v>239</v>
      </c>
      <c r="N63" s="29">
        <f>J13</f>
        <v>13208.291870175548</v>
      </c>
      <c r="O63" s="29">
        <f>K13</f>
        <v>1849.9574952153528</v>
      </c>
      <c r="P63" s="29">
        <f>L13</f>
        <v>1757.7506346090997</v>
      </c>
      <c r="Q63" s="29">
        <f>SUM(N63:P63)</f>
        <v>16816</v>
      </c>
      <c r="U63" s="29">
        <f>J13</f>
        <v>13208.291870175548</v>
      </c>
      <c r="V63" s="29">
        <f>K13</f>
        <v>1849.9574952153528</v>
      </c>
      <c r="W63" s="29">
        <f>L13</f>
        <v>1757.7506346090997</v>
      </c>
      <c r="X63" s="29">
        <f>SUM(U63:W63)</f>
        <v>16816</v>
      </c>
      <c r="AB63" s="29"/>
      <c r="AC63" s="29"/>
      <c r="AD63" s="29"/>
    </row>
    <row r="64" spans="1:30" ht="12.75">
      <c r="A64" s="19" t="s">
        <v>240</v>
      </c>
      <c r="AB64" s="38"/>
      <c r="AC64" s="38"/>
      <c r="AD64" s="38"/>
    </row>
  </sheetData>
  <printOptions gridLines="1"/>
  <pageMargins left="0.37" right="0.2" top="0.5" bottom="0.46" header="0.27" footer="0.24"/>
  <pageSetup horizontalDpi="600" verticalDpi="600" orientation="portrait" paperSize="9" scale="90" r:id="rId1"/>
  <headerFooter alignWithMargins="0">
    <oddHeader>&amp;L&amp;D&amp;C&amp;A</oddHeader>
    <oddFooter>&amp;LKOF/ETH, MS&amp;CSeite &amp;P</oddFooter>
  </headerFooter>
  <colBreaks count="4" manualBreakCount="4">
    <brk id="7" max="65535" man="1"/>
    <brk id="13" max="65535" man="1"/>
    <brk id="20" max="65535" man="1"/>
    <brk id="2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E52"/>
  <sheetViews>
    <sheetView workbookViewId="0" topLeftCell="A1">
      <selection activeCell="A1" sqref="A1"/>
    </sheetView>
  </sheetViews>
  <sheetFormatPr defaultColWidth="11.421875" defaultRowHeight="12.75"/>
  <cols>
    <col min="1" max="1" width="4.28125" style="86" customWidth="1"/>
    <col min="2" max="2" width="28.57421875" style="86" customWidth="1"/>
    <col min="3" max="3" width="36.8515625" style="86" customWidth="1"/>
    <col min="4" max="4" width="17.57421875" style="86" customWidth="1"/>
    <col min="5" max="16384" width="11.57421875" style="86" customWidth="1"/>
  </cols>
  <sheetData>
    <row r="2" spans="1:3" ht="12.75">
      <c r="A2" s="85" t="s">
        <v>248</v>
      </c>
      <c r="B2" s="85"/>
      <c r="C2" s="85" t="s">
        <v>249</v>
      </c>
    </row>
    <row r="3" spans="2:3" ht="12.75">
      <c r="B3" s="85"/>
      <c r="C3" s="85"/>
    </row>
    <row r="5" spans="1:3" ht="12.75">
      <c r="A5" s="87" t="s">
        <v>250</v>
      </c>
      <c r="B5" s="86" t="s">
        <v>251</v>
      </c>
      <c r="C5" s="88" t="s">
        <v>252</v>
      </c>
    </row>
    <row r="7" spans="1:3" ht="12.75">
      <c r="A7" s="89">
        <v>1</v>
      </c>
      <c r="B7" s="86" t="s">
        <v>253</v>
      </c>
      <c r="C7" s="90" t="s">
        <v>254</v>
      </c>
    </row>
    <row r="8" spans="1:3" ht="12.75">
      <c r="A8" s="89">
        <v>2</v>
      </c>
      <c r="B8" s="86" t="s">
        <v>78</v>
      </c>
      <c r="C8" s="90" t="s">
        <v>255</v>
      </c>
    </row>
    <row r="9" spans="1:3" ht="12.75">
      <c r="A9" s="89">
        <v>3</v>
      </c>
      <c r="B9" s="86" t="s">
        <v>79</v>
      </c>
      <c r="C9" s="90" t="s">
        <v>256</v>
      </c>
    </row>
    <row r="10" spans="1:3" ht="12.75">
      <c r="A10" s="89">
        <v>4</v>
      </c>
      <c r="B10" s="86" t="s">
        <v>80</v>
      </c>
      <c r="C10" s="90" t="s">
        <v>257</v>
      </c>
    </row>
    <row r="11" spans="1:3" ht="12.75">
      <c r="A11" s="89">
        <v>5</v>
      </c>
      <c r="B11" s="86" t="s">
        <v>103</v>
      </c>
      <c r="C11" s="90">
        <v>314</v>
      </c>
    </row>
    <row r="12" spans="1:3" ht="12.75">
      <c r="A12" s="89">
        <v>6</v>
      </c>
      <c r="B12" s="86" t="s">
        <v>104</v>
      </c>
      <c r="C12" s="90">
        <v>21</v>
      </c>
    </row>
    <row r="13" spans="1:3" ht="12.75">
      <c r="A13" s="89">
        <v>7</v>
      </c>
      <c r="B13" s="86" t="s">
        <v>105</v>
      </c>
      <c r="C13" s="90">
        <v>22</v>
      </c>
    </row>
    <row r="14" spans="1:3" ht="12.75">
      <c r="A14" s="89">
        <v>8</v>
      </c>
      <c r="B14" s="86" t="s">
        <v>106</v>
      </c>
      <c r="C14" s="90">
        <v>23</v>
      </c>
    </row>
    <row r="15" spans="1:4" ht="12.75">
      <c r="A15" s="89">
        <v>9</v>
      </c>
      <c r="B15" s="86" t="s">
        <v>107</v>
      </c>
      <c r="C15" s="90" t="s">
        <v>258</v>
      </c>
      <c r="D15" s="88"/>
    </row>
    <row r="16" spans="1:4" ht="12.75">
      <c r="A16" s="89">
        <v>10</v>
      </c>
      <c r="B16" s="86" t="s">
        <v>108</v>
      </c>
      <c r="C16" s="90" t="s">
        <v>259</v>
      </c>
      <c r="D16" s="88"/>
    </row>
    <row r="17" spans="1:4" ht="12.75">
      <c r="A17" s="89">
        <v>11</v>
      </c>
      <c r="B17" s="86" t="s">
        <v>260</v>
      </c>
      <c r="C17" s="90">
        <v>261</v>
      </c>
      <c r="D17" s="88"/>
    </row>
    <row r="18" spans="1:3" ht="12.75">
      <c r="A18" s="89">
        <v>12</v>
      </c>
      <c r="B18" s="86" t="s">
        <v>261</v>
      </c>
      <c r="C18" s="90" t="s">
        <v>262</v>
      </c>
    </row>
    <row r="19" spans="1:3" ht="12.75">
      <c r="A19" s="89">
        <v>13</v>
      </c>
      <c r="B19" s="86" t="s">
        <v>111</v>
      </c>
      <c r="C19" s="90" t="s">
        <v>263</v>
      </c>
    </row>
    <row r="20" spans="1:3" ht="12.75">
      <c r="A20" s="89">
        <v>14</v>
      </c>
      <c r="B20" s="86" t="s">
        <v>264</v>
      </c>
      <c r="C20" s="90" t="s">
        <v>265</v>
      </c>
    </row>
    <row r="21" spans="1:3" ht="12.75">
      <c r="A21" s="89">
        <v>15</v>
      </c>
      <c r="B21" s="86" t="s">
        <v>266</v>
      </c>
      <c r="C21" s="90" t="s">
        <v>267</v>
      </c>
    </row>
    <row r="22" spans="1:5" ht="12.75">
      <c r="A22" s="89">
        <v>16</v>
      </c>
      <c r="B22" s="86" t="s">
        <v>114</v>
      </c>
      <c r="C22" s="90" t="s">
        <v>268</v>
      </c>
      <c r="D22" s="88"/>
      <c r="E22" s="86" t="s">
        <v>269</v>
      </c>
    </row>
    <row r="23" spans="1:3" ht="12.75">
      <c r="A23" s="89">
        <v>17</v>
      </c>
      <c r="B23" s="86" t="s">
        <v>270</v>
      </c>
      <c r="C23" s="90" t="s">
        <v>271</v>
      </c>
    </row>
    <row r="24" spans="1:3" ht="12.75">
      <c r="A24" s="89">
        <v>18</v>
      </c>
      <c r="B24" s="86" t="s">
        <v>272</v>
      </c>
      <c r="C24" s="90" t="s">
        <v>273</v>
      </c>
    </row>
    <row r="25" spans="1:3" ht="12.75">
      <c r="A25" s="89" t="s">
        <v>274</v>
      </c>
      <c r="B25" s="86" t="s">
        <v>274</v>
      </c>
      <c r="C25" s="90"/>
    </row>
    <row r="26" spans="1:3" ht="12.75">
      <c r="A26" s="89">
        <v>19</v>
      </c>
      <c r="B26" s="86" t="s">
        <v>117</v>
      </c>
      <c r="C26" s="90">
        <v>34</v>
      </c>
    </row>
    <row r="27" spans="1:3" ht="12.75">
      <c r="A27" s="89">
        <v>20</v>
      </c>
      <c r="B27" s="86" t="s">
        <v>275</v>
      </c>
      <c r="C27" s="90" t="s">
        <v>276</v>
      </c>
    </row>
    <row r="28" spans="1:3" ht="12.75">
      <c r="A28" s="89">
        <v>21</v>
      </c>
      <c r="B28" s="86" t="s">
        <v>277</v>
      </c>
      <c r="C28" s="90" t="s">
        <v>278</v>
      </c>
    </row>
    <row r="29" spans="1:3" ht="12.75">
      <c r="A29" s="89" t="s">
        <v>274</v>
      </c>
      <c r="B29" s="86" t="s">
        <v>274</v>
      </c>
      <c r="C29" s="90" t="s">
        <v>279</v>
      </c>
    </row>
    <row r="30" spans="1:3" ht="12.75">
      <c r="A30" s="89">
        <v>22</v>
      </c>
      <c r="B30" s="86" t="s">
        <v>280</v>
      </c>
      <c r="C30" s="90" t="s">
        <v>281</v>
      </c>
    </row>
    <row r="31" spans="1:3" ht="12.75">
      <c r="A31" s="89">
        <v>23</v>
      </c>
      <c r="B31" s="86" t="s">
        <v>282</v>
      </c>
      <c r="C31" s="90" t="s">
        <v>283</v>
      </c>
    </row>
    <row r="32" spans="1:3" ht="12.75">
      <c r="A32" s="89">
        <v>24</v>
      </c>
      <c r="B32" s="86" t="s">
        <v>122</v>
      </c>
      <c r="C32" s="90" t="s">
        <v>284</v>
      </c>
    </row>
    <row r="33" spans="1:3" ht="12.75">
      <c r="A33" s="89">
        <v>25</v>
      </c>
      <c r="B33" s="86" t="s">
        <v>123</v>
      </c>
      <c r="C33" s="90" t="s">
        <v>285</v>
      </c>
    </row>
    <row r="34" spans="1:3" ht="12.75">
      <c r="A34" s="89">
        <v>26</v>
      </c>
      <c r="B34" s="86" t="s">
        <v>124</v>
      </c>
      <c r="C34" s="90" t="s">
        <v>286</v>
      </c>
    </row>
    <row r="35" spans="1:3" ht="12.75">
      <c r="A35" s="89">
        <v>27</v>
      </c>
      <c r="B35" s="86" t="s">
        <v>287</v>
      </c>
      <c r="C35" s="90" t="s">
        <v>288</v>
      </c>
    </row>
    <row r="36" spans="1:3" ht="12.75">
      <c r="A36" s="89" t="s">
        <v>274</v>
      </c>
      <c r="B36" s="86" t="s">
        <v>274</v>
      </c>
      <c r="C36" s="90" t="s">
        <v>289</v>
      </c>
    </row>
    <row r="37" spans="1:3" ht="12.75">
      <c r="A37" s="89">
        <v>28</v>
      </c>
      <c r="B37" s="86" t="s">
        <v>290</v>
      </c>
      <c r="C37" s="90" t="s">
        <v>291</v>
      </c>
    </row>
    <row r="38" spans="1:3" ht="12.75">
      <c r="A38" s="89">
        <v>29</v>
      </c>
      <c r="B38" s="86" t="s">
        <v>292</v>
      </c>
      <c r="C38" s="90" t="s">
        <v>293</v>
      </c>
    </row>
    <row r="39" spans="1:3" ht="12.75">
      <c r="A39" s="89">
        <v>30</v>
      </c>
      <c r="B39" s="86" t="s">
        <v>294</v>
      </c>
      <c r="C39" s="90" t="s">
        <v>295</v>
      </c>
    </row>
    <row r="40" spans="1:3" ht="12.75">
      <c r="A40" s="89">
        <v>31</v>
      </c>
      <c r="B40" s="86" t="s">
        <v>296</v>
      </c>
      <c r="C40" s="90" t="s">
        <v>297</v>
      </c>
    </row>
    <row r="41" spans="1:3" ht="12.75">
      <c r="A41" s="89">
        <v>32</v>
      </c>
      <c r="B41" s="86" t="s">
        <v>130</v>
      </c>
      <c r="C41" s="90">
        <v>71</v>
      </c>
    </row>
    <row r="42" spans="1:3" ht="12.75">
      <c r="A42" s="89">
        <v>33</v>
      </c>
      <c r="B42" s="86" t="s">
        <v>298</v>
      </c>
      <c r="C42" s="90">
        <v>72</v>
      </c>
    </row>
    <row r="43" spans="1:3" ht="12.75">
      <c r="A43" s="89">
        <v>34</v>
      </c>
      <c r="B43" s="86" t="s">
        <v>132</v>
      </c>
      <c r="C43" s="90" t="s">
        <v>299</v>
      </c>
    </row>
    <row r="44" spans="1:3" ht="12.75">
      <c r="A44" s="89">
        <v>35</v>
      </c>
      <c r="B44" s="86" t="s">
        <v>300</v>
      </c>
      <c r="C44" s="90" t="s">
        <v>301</v>
      </c>
    </row>
    <row r="45" spans="1:3" ht="12.75">
      <c r="A45" s="89" t="s">
        <v>274</v>
      </c>
      <c r="B45" s="86" t="s">
        <v>274</v>
      </c>
      <c r="C45" s="90"/>
    </row>
    <row r="46" spans="1:3" ht="12.75">
      <c r="A46" s="89">
        <v>36</v>
      </c>
      <c r="B46" s="86" t="s">
        <v>302</v>
      </c>
      <c r="C46" s="90" t="s">
        <v>303</v>
      </c>
    </row>
    <row r="47" spans="1:3" ht="12.75">
      <c r="A47" s="89">
        <v>37</v>
      </c>
      <c r="B47" s="86" t="s">
        <v>304</v>
      </c>
      <c r="C47" s="90">
        <v>83</v>
      </c>
    </row>
    <row r="48" spans="1:3" ht="12.75">
      <c r="A48" s="89">
        <v>38</v>
      </c>
      <c r="B48" s="86" t="s">
        <v>305</v>
      </c>
      <c r="C48" s="90" t="s">
        <v>306</v>
      </c>
    </row>
    <row r="49" spans="1:3" ht="12.75">
      <c r="A49" s="89">
        <v>39</v>
      </c>
      <c r="B49" s="86" t="s">
        <v>137</v>
      </c>
      <c r="C49" s="90" t="s">
        <v>307</v>
      </c>
    </row>
    <row r="50" spans="1:3" ht="12.75">
      <c r="A50" s="89">
        <v>40</v>
      </c>
      <c r="B50" s="86" t="s">
        <v>308</v>
      </c>
      <c r="C50" s="90">
        <v>92</v>
      </c>
    </row>
    <row r="51" spans="1:2" ht="12.75">
      <c r="A51" s="89">
        <v>41</v>
      </c>
      <c r="B51" s="86" t="s">
        <v>139</v>
      </c>
    </row>
    <row r="52" spans="1:2" ht="12.75">
      <c r="A52" s="89">
        <v>42</v>
      </c>
      <c r="B52" s="86" t="s">
        <v>139</v>
      </c>
    </row>
  </sheetData>
  <printOptions gridLines="1"/>
  <pageMargins left="0.75" right="0.75" top="1" bottom="1" header="0.511811023" footer="0.511811023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Selected Crude Oil Spot Prices</dc:title>
  <dc:subject/>
  <dc:creator/>
  <cp:keywords/>
  <dc:description/>
  <cp:lastModifiedBy>x057</cp:lastModifiedBy>
  <cp:lastPrinted>2003-12-02T13:33:44Z</cp:lastPrinted>
  <dcterms:created xsi:type="dcterms:W3CDTF">2000-06-16T11:04:09Z</dcterms:created>
  <dcterms:modified xsi:type="dcterms:W3CDTF">2003-12-02T13:37:06Z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